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945" yWindow="15" windowWidth="13365" windowHeight="18300"/>
  </bookViews>
  <sheets>
    <sheet name="Смета" sheetId="12" r:id="rId1"/>
    <sheet name="ОУ" sheetId="9" r:id="rId2"/>
  </sheets>
  <definedNames>
    <definedName name="_xlnm.Print_Area" localSheetId="0">Смета!$A$1:$H$88</definedName>
  </definedNames>
  <calcPr calcId="125725"/>
</workbook>
</file>

<file path=xl/calcChain.xml><?xml version="1.0" encoding="utf-8"?>
<calcChain xmlns="http://schemas.openxmlformats.org/spreadsheetml/2006/main">
  <c r="H75" i="12"/>
  <c r="A72"/>
  <c r="A73" s="1"/>
  <c r="A74" s="1"/>
  <c r="A75" s="1"/>
  <c r="A76" s="1"/>
  <c r="A77" s="1"/>
  <c r="G52"/>
  <c r="G51"/>
  <c r="H52" l="1"/>
  <c r="F27"/>
  <c r="E31"/>
  <c r="G70"/>
  <c r="G67"/>
  <c r="G58"/>
  <c r="H58" s="1"/>
  <c r="G57"/>
  <c r="H57" s="1"/>
  <c r="G56"/>
  <c r="H56" s="1"/>
  <c r="H54"/>
  <c r="H51"/>
  <c r="H53"/>
  <c r="H49"/>
  <c r="G48"/>
  <c r="H48" s="1"/>
  <c r="G47"/>
  <c r="H47" s="1"/>
  <c r="E45"/>
  <c r="G45" s="1"/>
  <c r="H45" s="1"/>
  <c r="E44"/>
  <c r="G44" s="1"/>
  <c r="H44" s="1"/>
  <c r="G43"/>
  <c r="H43" s="1"/>
  <c r="G41"/>
  <c r="H41" s="1"/>
  <c r="H42" s="1"/>
  <c r="G40"/>
  <c r="H40" s="1"/>
  <c r="G39"/>
  <c r="H39" s="1"/>
  <c r="E37"/>
  <c r="G35"/>
  <c r="H35" s="1"/>
  <c r="G34"/>
  <c r="H34" s="1"/>
  <c r="F32"/>
  <c r="G29"/>
  <c r="F29"/>
  <c r="G28"/>
  <c r="H28" s="1"/>
  <c r="G27"/>
  <c r="G26"/>
  <c r="H26" s="1"/>
  <c r="G25"/>
  <c r="F25"/>
  <c r="G24"/>
  <c r="H24" s="1"/>
  <c r="G22"/>
  <c r="F22"/>
  <c r="G21"/>
  <c r="H21" s="1"/>
  <c r="G20"/>
  <c r="F20"/>
  <c r="G19"/>
  <c r="H19" s="1"/>
  <c r="E17"/>
  <c r="G17" s="1"/>
  <c r="H17" s="1"/>
  <c r="G16"/>
  <c r="H16" s="1"/>
  <c r="G13"/>
  <c r="H13" s="1"/>
  <c r="G12"/>
  <c r="H12" s="1"/>
  <c r="A12"/>
  <c r="A13" s="1"/>
  <c r="A15" s="1"/>
  <c r="A16" s="1"/>
  <c r="A17" s="1"/>
  <c r="A19" s="1"/>
  <c r="A20" s="1"/>
  <c r="A21" s="1"/>
  <c r="A22" s="1"/>
  <c r="A24" s="1"/>
  <c r="A25" s="1"/>
  <c r="A26" s="1"/>
  <c r="A27" s="1"/>
  <c r="A28" s="1"/>
  <c r="A29" s="1"/>
  <c r="A31" s="1"/>
  <c r="A32" s="1"/>
  <c r="A34" s="1"/>
  <c r="A35" s="1"/>
  <c r="A36" s="1"/>
  <c r="A37" s="1"/>
  <c r="A39" s="1"/>
  <c r="A40" s="1"/>
  <c r="A41" s="1"/>
  <c r="A42" s="1"/>
  <c r="A43" s="1"/>
  <c r="A44" s="1"/>
  <c r="A45" s="1"/>
  <c r="A46" s="1"/>
  <c r="A47" s="1"/>
  <c r="A48" s="1"/>
  <c r="A49" s="1"/>
  <c r="H10"/>
  <c r="A8"/>
  <c r="G15" s="1"/>
  <c r="H32" l="1"/>
  <c r="A51"/>
  <c r="A52" s="1"/>
  <c r="A53" s="1"/>
  <c r="A54" s="1"/>
  <c r="H27"/>
  <c r="H25"/>
  <c r="H15"/>
  <c r="F82"/>
  <c r="H29"/>
  <c r="H20"/>
  <c r="H36"/>
  <c r="H37" s="1"/>
  <c r="H22"/>
  <c r="H31"/>
  <c r="H60" l="1"/>
  <c r="H62" s="1"/>
  <c r="H61"/>
  <c r="A55"/>
  <c r="A56" s="1"/>
  <c r="A57" s="1"/>
  <c r="A58" s="1"/>
  <c r="A59" s="1"/>
  <c r="A60" s="1"/>
  <c r="A61" s="1"/>
  <c r="A62" s="1"/>
  <c r="A64" s="1"/>
  <c r="A65" s="1"/>
  <c r="A66" s="1"/>
  <c r="A67" s="1"/>
  <c r="A68" s="1"/>
  <c r="A69" s="1"/>
  <c r="A70" s="1"/>
  <c r="A71" s="1"/>
  <c r="A78" s="1"/>
  <c r="A79" s="1"/>
  <c r="A80" s="1"/>
  <c r="A81" s="1"/>
  <c r="A82" s="1"/>
  <c r="A83" s="1"/>
  <c r="A84" s="1"/>
  <c r="H59"/>
  <c r="H72" s="1"/>
  <c r="A86" l="1"/>
  <c r="A85"/>
  <c r="H73"/>
  <c r="H64"/>
  <c r="H65"/>
  <c r="H71" s="1"/>
  <c r="H74" l="1"/>
  <c r="H76" s="1"/>
  <c r="G66"/>
  <c r="F66" s="1"/>
  <c r="H66" s="1"/>
  <c r="F68" s="1"/>
  <c r="G69" s="1"/>
  <c r="F69" s="1"/>
  <c r="H69" s="1"/>
  <c r="F71" l="1"/>
  <c r="H77"/>
  <c r="H78" s="1"/>
  <c r="H79" s="1"/>
  <c r="H80" s="1"/>
  <c r="H81" l="1"/>
  <c r="H82" l="1"/>
  <c r="H83" s="1"/>
  <c r="H84" l="1"/>
  <c r="H85" l="1"/>
  <c r="H86" s="1"/>
</calcChain>
</file>

<file path=xl/comments1.xml><?xml version="1.0" encoding="utf-8"?>
<comments xmlns="http://schemas.openxmlformats.org/spreadsheetml/2006/main">
  <authors>
    <author>vsv</author>
    <author>Vorobyev</author>
  </authors>
  <commentLis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Если объект состоит из нескольких разрозненных участков, проставить количество участков.</t>
        </r>
      </text>
    </comment>
    <comment ref="E12" authorId="1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1 - легкий грунт, покрытие отсутствует
2 - грунт средней твердостиа, сфальт
3 - бетон</t>
        </r>
      </text>
    </comment>
    <comment ref="E13" authorId="1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1 - легкий грунт, покрытие отсутствует
2 - грунт средней твердостиа, сфальт
3 - бетон</t>
        </r>
      </text>
    </comment>
    <comment ref="E15" authorId="1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1-3  категория сложности</t>
        </r>
      </text>
    </comment>
    <comment ref="F15" authorId="1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Не менее 3-х пунктов на объект</t>
        </r>
      </text>
    </comment>
    <comment ref="G15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Приведено к базовому уровню цен с учетом коэффициента инфляции</t>
        </r>
      </text>
    </comment>
    <comment ref="E16" authorId="1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1-3  категория сложности</t>
        </r>
      </text>
    </comment>
    <comment ref="F16" authorId="1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Не применять, если выполнена привязка GPS</t>
        </r>
      </text>
    </comment>
    <comment ref="E17" authorId="1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1-3  категория сложности</t>
        </r>
      </text>
    </comment>
    <comment ref="E19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20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21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22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24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25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26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27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28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29" authorId="1">
      <text>
        <r>
          <rPr>
            <b/>
            <sz val="8"/>
            <color indexed="81"/>
            <rFont val="Tahoma"/>
            <family val="2"/>
            <charset val="204"/>
          </rPr>
          <t>Vorobyev: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D32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Указать ширину полосы в метрах (не использовать на небольших участках).</t>
        </r>
      </text>
    </comment>
    <comment ref="E34" authorId="1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F34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- для землеустроительного дела - количество точек углов поворота границ земельных участков;
- при фасадной съемке - количество определяемых точек</t>
        </r>
      </text>
    </comment>
    <comment ref="E35" authorId="1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1-3 категория сложности</t>
        </r>
      </text>
    </comment>
    <comment ref="E36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0.8 - плановая привязка
0.4 - подеревная съемка</t>
        </r>
      </text>
    </comment>
    <comment ref="F37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Указать среднюю глубину траншей, м</t>
        </r>
      </text>
    </comment>
    <comment ref="F39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Применяется только при выполнении работ раздельно от топографической съемки</t>
        </r>
      </text>
    </comment>
    <comment ref="F40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Применяется только при выполнении работ раздельно от топографической съемки</t>
        </r>
      </text>
    </comment>
    <comment ref="F41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Применяется только при выполнении работ раздельно от топографической съемки</t>
        </r>
      </text>
    </comment>
    <comment ref="C47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Применять ДОПОЛНИТЕЛЬНО к т.37</t>
        </r>
      </text>
    </comment>
    <comment ref="E47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1-3 категории</t>
        </r>
      </text>
    </comment>
    <comment ref="E48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Указать усредненное значение количества выходов прокладок, округленное до целого числа</t>
        </r>
      </text>
    </comment>
    <comment ref="G49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Коэффициенты перемножаются</t>
        </r>
      </text>
    </comment>
    <comment ref="E51" authorId="0">
      <text>
        <r>
          <rPr>
            <b/>
            <sz val="9"/>
            <color indexed="81"/>
            <rFont val="Tahoma"/>
            <family val="2"/>
            <charset val="204"/>
          </rPr>
          <t>vsv:</t>
        </r>
        <r>
          <rPr>
            <sz val="9"/>
            <color indexed="81"/>
            <rFont val="Tahoma"/>
            <family val="2"/>
            <charset val="204"/>
          </rPr>
          <t xml:space="preserve">
Количество коммуникаций (каждый вид кабельных прокладок и трубопроводов) на участке</t>
        </r>
      </text>
    </comment>
    <comment ref="E52" authorId="0">
      <text>
        <r>
          <rPr>
            <b/>
            <sz val="9"/>
            <color indexed="81"/>
            <rFont val="Tahoma"/>
            <family val="2"/>
            <charset val="204"/>
          </rPr>
          <t>vsv:</t>
        </r>
        <r>
          <rPr>
            <sz val="9"/>
            <color indexed="81"/>
            <rFont val="Tahoma"/>
            <family val="2"/>
            <charset val="204"/>
          </rPr>
          <t xml:space="preserve">
Количество коммуникаций (каждый вид кабельных прокладок и трубопроводов) на участке</t>
        </r>
      </text>
    </comment>
    <comment ref="F53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Нормой учтено вычерчивание плана подз. комм-й</t>
        </r>
      </text>
    </comment>
    <comment ref="E56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Указать численную характеристику формата (А0=0, А1=1, А2=2, А3=3)</t>
        </r>
      </text>
    </comment>
    <comment ref="E57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Указать численную характеристику формата (А0=0, А1=1, А2=2, А3=3)</t>
        </r>
      </text>
    </comment>
    <comment ref="F62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0.85 - при выполнении полевых работ на территории города Челябинска и в радиусе 100 км от него
1 - то же, на остальной территории РФ</t>
        </r>
      </text>
    </comment>
    <comment ref="F64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25 % - на территориях со спецрежимом (в т.ч. действующие стройплощадки),
0 % - на остальных территориях</t>
        </r>
      </text>
    </comment>
    <comment ref="F65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30% - при выполнении работ в период с 20 октября по 5 мая,
0% - в другое время года</t>
        </r>
      </text>
    </comment>
    <comment ref="F70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0 -при расположении участка работ на территории г.Челябинска и в радиусе 25 км от него</t>
        </r>
      </text>
    </comment>
    <comment ref="F72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К=1 Программа
К=0.5 Техническое задание
На небольших объектах не применяем.</t>
        </r>
      </text>
    </comment>
    <comment ref="F73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К=1 Технический отчет
К=0.5 Пояснительная записка</t>
        </r>
      </text>
    </comment>
    <comment ref="F74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0.2 - Составление топопланов в компьтере с последующей печатью
0 - иначе</t>
        </r>
      </text>
    </comment>
    <comment ref="F75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0.75 - при сдаче топопланов Заказчику на магнитных и бумажных носителях
0 - иначе</t>
        </r>
      </text>
    </comment>
    <comment ref="F76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0.1 - исп-е материалов ДСП
0 - иначе</t>
        </r>
      </text>
    </comment>
    <comment ref="F81" authorId="0">
      <text>
        <r>
          <rPr>
            <b/>
            <sz val="8"/>
            <color indexed="81"/>
            <rFont val="Tahoma"/>
            <family val="2"/>
            <charset val="204"/>
          </rPr>
          <t>vsv:</t>
        </r>
        <r>
          <rPr>
            <sz val="8"/>
            <color indexed="81"/>
            <rFont val="Tahoma"/>
            <family val="2"/>
            <charset val="204"/>
          </rPr>
          <t xml:space="preserve">
По согласованию с Заказчиком</t>
        </r>
      </text>
    </comment>
  </commentList>
</comments>
</file>

<file path=xl/sharedStrings.xml><?xml version="1.0" encoding="utf-8"?>
<sst xmlns="http://schemas.openxmlformats.org/spreadsheetml/2006/main" count="279" uniqueCount="218">
  <si>
    <t>СМЕТА</t>
  </si>
  <si>
    <t>Заказчик:</t>
  </si>
  <si>
    <t>Юрид. адрес:</t>
  </si>
  <si>
    <t>Телефон:</t>
  </si>
  <si>
    <t>Объект:</t>
  </si>
  <si>
    <t>Наим. работ:</t>
  </si>
  <si>
    <t>Расположение:</t>
  </si>
  <si>
    <t>№</t>
  </si>
  <si>
    <t>Обосн. стоим.</t>
  </si>
  <si>
    <t>Наименование работ</t>
  </si>
  <si>
    <t>Един. изм.</t>
  </si>
  <si>
    <t>Кат. сл.</t>
  </si>
  <si>
    <t xml:space="preserve">Кол. ед. </t>
  </si>
  <si>
    <t>Стоимость ед., руб.</t>
  </si>
  <si>
    <t>Сметная стоим., руб.</t>
  </si>
  <si>
    <t>1 объект</t>
  </si>
  <si>
    <t>1 план</t>
  </si>
  <si>
    <t>1 пункт</t>
  </si>
  <si>
    <t>1 км</t>
  </si>
  <si>
    <t>1 га</t>
  </si>
  <si>
    <t>камеральные работы</t>
  </si>
  <si>
    <t>до 50 м</t>
  </si>
  <si>
    <t>1 точка</t>
  </si>
  <si>
    <t>свыше 100 м</t>
  </si>
  <si>
    <t>Итого:</t>
  </si>
  <si>
    <t>в т.ч. полевые работы</t>
  </si>
  <si>
    <t>Прочие затраты</t>
  </si>
  <si>
    <t>Выполнение полевых работ в небл. период года</t>
  </si>
  <si>
    <t>%</t>
  </si>
  <si>
    <t>ИТОГО:</t>
  </si>
  <si>
    <t>ИТОГО ПО СМЕТЕ:</t>
  </si>
  <si>
    <t>1 копия</t>
  </si>
  <si>
    <t>Создание инженерно-топографических планов М 1:500, сечение рельефа горизонталями через 0.5 м</t>
  </si>
  <si>
    <r>
      <t>Незастроенная территория</t>
    </r>
    <r>
      <rPr>
        <sz val="8"/>
        <rFont val="Arial Cyr"/>
        <family val="2"/>
        <charset val="204"/>
      </rPr>
      <t>, полевые работы</t>
    </r>
  </si>
  <si>
    <r>
      <t>Застроенная территория</t>
    </r>
    <r>
      <rPr>
        <sz val="8"/>
        <rFont val="Arial Cyr"/>
        <family val="2"/>
        <charset val="204"/>
      </rPr>
      <t>, полевые работы</t>
    </r>
  </si>
  <si>
    <r>
      <t>Промплощадки</t>
    </r>
    <r>
      <rPr>
        <sz val="8"/>
        <rFont val="Arial Cyr"/>
        <family val="2"/>
        <charset val="204"/>
      </rPr>
      <t>, полевые работы</t>
    </r>
  </si>
  <si>
    <t>стр. 24, т.9</t>
  </si>
  <si>
    <t>Обновление инженерно-топографических планов М 1:500, сечение рельефа горизонталями через 0.5 м</t>
  </si>
  <si>
    <t>При съемке небольших участков или узких полос применены коэффициенты на полевые работы:</t>
  </si>
  <si>
    <t>Коэффициент при съемке небольших участков</t>
  </si>
  <si>
    <t>К=</t>
  </si>
  <si>
    <t xml:space="preserve">Коэффициент при съемке узких полос шириной </t>
  </si>
  <si>
    <t>м     К=</t>
  </si>
  <si>
    <t>стр.63, т.37</t>
  </si>
  <si>
    <t>H=</t>
  </si>
  <si>
    <t>стр.66, т.40</t>
  </si>
  <si>
    <t>то же, в отдельных узлах при количестве выходов</t>
  </si>
  <si>
    <t>1.2 при отключ. силовых линий, 0.6 - определение только глубины заложения</t>
  </si>
  <si>
    <t>стр.103, т.76</t>
  </si>
  <si>
    <t>стр.104, т.78</t>
  </si>
  <si>
    <t>Составление техн. отчета (поясн. записки)</t>
  </si>
  <si>
    <t>Вып-е полевых работ на терр. со спецрежимом</t>
  </si>
  <si>
    <t>Районный коэффициент</t>
  </si>
  <si>
    <t>км</t>
  </si>
  <si>
    <t>Расходы по внутреннему транспорту, при</t>
  </si>
  <si>
    <t>Организация и ликвидация работ на объекте</t>
  </si>
  <si>
    <t>Общ. ук., п.13</t>
  </si>
  <si>
    <t>Общ. ук., п.14</t>
  </si>
  <si>
    <t>Вып-е пол-х работ без выплаты командировочных</t>
  </si>
  <si>
    <t>О. ук., п.15б</t>
  </si>
  <si>
    <t>Вып-е кам-х работ с исп-ем материалов ДСП</t>
  </si>
  <si>
    <t>О. ук., п.15е</t>
  </si>
  <si>
    <t>Сост-е топопланов в 2-х видах (на магн. и бум. носителях)</t>
  </si>
  <si>
    <t>О. ук., п.18</t>
  </si>
  <si>
    <t>Непредвиденные затраты</t>
  </si>
  <si>
    <t>Срочное выполнение работ</t>
  </si>
  <si>
    <t>О. ук., п.19</t>
  </si>
  <si>
    <t>О. ук., п.20</t>
  </si>
  <si>
    <t>Инфляционный индекс</t>
  </si>
  <si>
    <t xml:space="preserve"> - инфляционный индекс</t>
  </si>
  <si>
    <t>Общ. ук., п.8в</t>
  </si>
  <si>
    <t>стр.64, т.39</t>
  </si>
  <si>
    <t>К=0.5 - без открывания колодцев</t>
  </si>
  <si>
    <t>стр.107, т.81, п.4</t>
  </si>
  <si>
    <t>стр.74, т.47, п.1</t>
  </si>
  <si>
    <t>стр.74, т.47, п.3</t>
  </si>
  <si>
    <t>стр.28, т.10, п.1</t>
  </si>
  <si>
    <t>стр.75, т.48, п.1</t>
  </si>
  <si>
    <t>стр.75, т.48, п.2</t>
  </si>
  <si>
    <t>привязка точек в траншеях</t>
  </si>
  <si>
    <t>Прим.5</t>
  </si>
  <si>
    <t>Прим.3, 4</t>
  </si>
  <si>
    <t>при только плановой привязке или подеревной съемке</t>
  </si>
  <si>
    <t>Прим.4</t>
  </si>
  <si>
    <t>Съемка подз. комм-й с помощью трубокабелеискателя</t>
  </si>
  <si>
    <t>№№</t>
  </si>
  <si>
    <t>Итого прочих затрат</t>
  </si>
  <si>
    <t>Составил</t>
  </si>
  <si>
    <t>С.В. Воробьев</t>
  </si>
  <si>
    <t>Планово-высотная привязка точек</t>
  </si>
  <si>
    <t>Договор №</t>
  </si>
  <si>
    <t>от</t>
  </si>
  <si>
    <t>Сбор данных о топо- и геодез-й изученности участка работ</t>
  </si>
  <si>
    <t>т.46, п.10</t>
  </si>
  <si>
    <t>Изготовление и закладка геодезических знаков</t>
  </si>
  <si>
    <t>1 знак</t>
  </si>
  <si>
    <t>Рабочие пункты: металл. трубки (штыри), дюбель, гвоздь</t>
  </si>
  <si>
    <t>Создание съемочного обоснования</t>
  </si>
  <si>
    <t>Определение пунктов GPS</t>
  </si>
  <si>
    <t>Прайс субподр.</t>
  </si>
  <si>
    <t>Пункт СС (мет. штырь или трубка на бетоне)</t>
  </si>
  <si>
    <t>т.46, п.11</t>
  </si>
  <si>
    <t>Съемка выходов подземных сооружений</t>
  </si>
  <si>
    <t>Съемка надземных сооружений</t>
  </si>
  <si>
    <t>Нивелирование выходов подземных сооружений</t>
  </si>
  <si>
    <t>Нивелирование надземных сооружений</t>
  </si>
  <si>
    <t>Составление описания подз. и надз. сооружений</t>
  </si>
  <si>
    <t>Камеральные работы</t>
  </si>
  <si>
    <t>Исполнительная съемка инженерных коммуникаций</t>
  </si>
  <si>
    <t>1 колодец</t>
  </si>
  <si>
    <t>Сост. опис. подз. и надз. сооруж., вскрытых шурфами</t>
  </si>
  <si>
    <t>Сканирование и калибровка топопланов</t>
  </si>
  <si>
    <t>Широкоформатная полноцветная печать топопланов</t>
  </si>
  <si>
    <t>Изготовление ч/б копий топопланов</t>
  </si>
  <si>
    <t>Кальк. № 5</t>
  </si>
  <si>
    <t>Кальк. № 4</t>
  </si>
  <si>
    <t>Кальк. № 1, 6</t>
  </si>
  <si>
    <t>Общие указания</t>
  </si>
  <si>
    <t>Коэффициенты:</t>
  </si>
  <si>
    <t>стр.6, п.8в Общ. ук.</t>
  </si>
  <si>
    <t>на территориях со специальным режимом к ценам на полевые работы</t>
  </si>
  <si>
    <t>стр.6, п.8г Общ. ук., Таблица 2, п.2</t>
  </si>
  <si>
    <t>при выполнении полевых изыскательских работ в неблагоприятный период года</t>
  </si>
  <si>
    <t>стр.8, п.8д Общ. ук., Таблица 3, п.2</t>
  </si>
  <si>
    <t>районный коэффициент, к итогу сметной стоимости</t>
  </si>
  <si>
    <t>Расходы по внутреннему транспорту</t>
  </si>
  <si>
    <t>стр.9, п.9 Общ. ук., Таблица 4</t>
  </si>
  <si>
    <t>Расстояние от базы до участка изысканий, км</t>
  </si>
  <si>
    <t>Расходы по внутреннему транспорту, %, при сметной стоимости полевых работ, т.р.</t>
  </si>
  <si>
    <t>до 75</t>
  </si>
  <si>
    <t>св.75 до 150</t>
  </si>
  <si>
    <t>св.150 до 300</t>
  </si>
  <si>
    <t>св.300 до 750</t>
  </si>
  <si>
    <t>св. 750</t>
  </si>
  <si>
    <t>до 5</t>
  </si>
  <si>
    <t>св.5 до 10</t>
  </si>
  <si>
    <t>св.10 до15</t>
  </si>
  <si>
    <t>св.15 до20</t>
  </si>
  <si>
    <t>св.20 до30</t>
  </si>
  <si>
    <t>св.30 до40</t>
  </si>
  <si>
    <t>св.40 до50</t>
  </si>
  <si>
    <t>св.50 до100</t>
  </si>
  <si>
    <t>Расходы по внешнему транспорту</t>
  </si>
  <si>
    <t>стр.10, п.10 Общ. ук., Таблица 5</t>
  </si>
  <si>
    <t>Расстояние проезда и перевозки в одном направлении, км</t>
  </si>
  <si>
    <t>Расходы по внешнему транспорту в обоих направлениях, % сметной стоимости полевых работ, продолжительностью, мес.</t>
  </si>
  <si>
    <t>до 1</t>
  </si>
  <si>
    <t>12 и более</t>
  </si>
  <si>
    <t>св.25 до 100</t>
  </si>
  <si>
    <t>св.100 до 300</t>
  </si>
  <si>
    <t>св.300 до 500</t>
  </si>
  <si>
    <t>св.500 до1000</t>
  </si>
  <si>
    <t>св.1000 до 2000</t>
  </si>
  <si>
    <t>св. 2000</t>
  </si>
  <si>
    <t>Расходы по организации и ликвилации работ на объекте</t>
  </si>
  <si>
    <t>стр.12, п.13 Общ. ук.</t>
  </si>
  <si>
    <t>от сметной стоимости полевых работ</t>
  </si>
  <si>
    <t>Проведение полевых работ без выплаты полевого довольствия</t>
  </si>
  <si>
    <t>стр.13, п.14 Общ. ук.</t>
  </si>
  <si>
    <t>к сметной стоимости полевых работ</t>
  </si>
  <si>
    <t>Выполнение камеральных работ с использованием материалов ограниченного пользования</t>
  </si>
  <si>
    <t>стр.13, п.15б Общ. ук.</t>
  </si>
  <si>
    <t>к сметной стоимости камеральных работ</t>
  </si>
  <si>
    <t>Выполнение камеральных работ с использованием компьютерных технологий</t>
  </si>
  <si>
    <t>стр.13, п.15д Общ. ук.</t>
  </si>
  <si>
    <t>Составление планов в двух видах (на магнитном и бумажном носителях)</t>
  </si>
  <si>
    <t>стр.13, п.15е Общ. ук.</t>
  </si>
  <si>
    <t>к сметной стоимости картографических работ, если не применялся К=1.2 п.15д</t>
  </si>
  <si>
    <t>Непредвиденные расходы</t>
  </si>
  <si>
    <t>стр.14, п.19 Общ. ук.</t>
  </si>
  <si>
    <t>от сметной стоимости изыскательских работ</t>
  </si>
  <si>
    <t>к сметной стоимости изыскательских работ</t>
  </si>
  <si>
    <t>стр.14, п.20 Общ. ук.</t>
  </si>
  <si>
    <t>СБЦ-2004. Утвержден и введен в действие постановлением Госстроя России №213 от 23 декабря 2003 года</t>
  </si>
  <si>
    <t>Нормативная продолжительность работ</t>
  </si>
  <si>
    <t>месяц</t>
  </si>
  <si>
    <t>Расходы по внешнему транспорту, при</t>
  </si>
  <si>
    <t>Общ.ук., п.9, т.4</t>
  </si>
  <si>
    <t>Общ.ук.,п.10,т.5</t>
  </si>
  <si>
    <t>Расчет</t>
  </si>
  <si>
    <t>Составление программы изысканий (техн. предписания)</t>
  </si>
  <si>
    <t>ИНН / КПП</t>
  </si>
  <si>
    <t>расстоянии от базы до участка работ</t>
  </si>
  <si>
    <t>расстоянии от г. Челябинска до базы</t>
  </si>
  <si>
    <t>средняя глубина колодцев или высота надз. сооружений, м</t>
  </si>
  <si>
    <t>на выполнение инженерно-геодезических работ</t>
  </si>
  <si>
    <t>Техническое нивелирование (по методике III кл.)</t>
  </si>
  <si>
    <t>Проложение привязочных теодолитных ходов</t>
  </si>
  <si>
    <t>2502/344</t>
  </si>
  <si>
    <t>стр.103, т.75</t>
  </si>
  <si>
    <t>Сост. планов подз. и надз. соор-й М1:500 (застр.терр.)</t>
  </si>
  <si>
    <t>Сост. планов подз. и надз. соор-й М1:500</t>
  </si>
  <si>
    <t>Обновл.. планов подз. и надз. соор-й М1:500 (К=0.7)</t>
  </si>
  <si>
    <t>Проверка полноты планов в эксп. организациях</t>
  </si>
  <si>
    <t>1 орган.</t>
  </si>
  <si>
    <t>Коэфф.:</t>
  </si>
  <si>
    <t>1.08, 1.55</t>
  </si>
  <si>
    <t>0.85, 1.3</t>
  </si>
  <si>
    <t>ИТОГО с прочими затратами (БАЗОВАЯ ЦЕНА):</t>
  </si>
  <si>
    <t>Индекс изменения сметной стоимости</t>
  </si>
  <si>
    <t>Общ. ук., п.8г §2</t>
  </si>
  <si>
    <t>Общ. ук., п.8д §2</t>
  </si>
  <si>
    <t>стр.103, т.75 Пр.3</t>
  </si>
  <si>
    <t>Общ.ук., п. 12</t>
  </si>
  <si>
    <t>Компенсация затрат за согласования (прайс экспл.орг.)</t>
  </si>
  <si>
    <t>1 комплекс затрат по счетам экспл. орг.</t>
  </si>
  <si>
    <t>ООО "Проектирование и строительство"</t>
  </si>
  <si>
    <t>454000, г. Челябинск, ул. Вишневая, 5</t>
  </si>
  <si>
    <t>7449126ХХХ / 744901ХХХ</t>
  </si>
  <si>
    <t>Земельный участок с кадастровым номером 74:36:0319ХХХ:ХХХ</t>
  </si>
  <si>
    <t>г. Челябинск, Центральный район, ул. Миасская, 5</t>
  </si>
  <si>
    <t>+7 (351) 267-47-ХХ</t>
  </si>
  <si>
    <t>Инженерно-геодезических работы (топографическая съемка земельного участка М1:500)</t>
  </si>
  <si>
    <t>О. ук., п.15д</t>
  </si>
  <si>
    <t>Применение компьютерных технологий</t>
  </si>
  <si>
    <t>Итого,  с  учетом скидки</t>
  </si>
  <si>
    <t>НДС</t>
  </si>
  <si>
    <t xml:space="preserve"> не облагается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</si>
</sst>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0.000"/>
  </numFmts>
  <fonts count="16">
    <font>
      <sz val="10"/>
      <name val="Arial Cyr"/>
      <charset val="204"/>
    </font>
    <font>
      <b/>
      <sz val="8"/>
      <name val="Arial Cyr"/>
      <family val="2"/>
      <charset val="204"/>
    </font>
    <font>
      <sz val="8"/>
      <name val="Arial Cyr"/>
      <family val="2"/>
      <charset val="204"/>
    </font>
    <font>
      <b/>
      <i/>
      <sz val="8"/>
      <name val="Arial Cyr"/>
      <family val="2"/>
      <charset val="204"/>
    </font>
    <font>
      <i/>
      <sz val="8"/>
      <name val="Arial Cyr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0"/>
      <name val="Arial Cyr"/>
      <family val="2"/>
      <charset val="204"/>
    </font>
    <font>
      <b/>
      <i/>
      <sz val="6"/>
      <name val="Arial Cyr"/>
      <family val="2"/>
      <charset val="204"/>
    </font>
    <font>
      <sz val="6"/>
      <name val="Arial Cyr"/>
      <family val="2"/>
      <charset val="204"/>
    </font>
    <font>
      <b/>
      <i/>
      <sz val="8"/>
      <name val="Arial Cyr"/>
      <charset val="204"/>
    </font>
    <font>
      <b/>
      <sz val="8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 Cyr"/>
      <charset val="204"/>
    </font>
    <font>
      <sz val="7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justify"/>
    </xf>
    <xf numFmtId="0" fontId="2" fillId="0" borderId="3" xfId="0" applyFont="1" applyBorder="1" applyAlignment="1">
      <alignment horizontal="center" vertical="top" wrapText="1"/>
    </xf>
    <xf numFmtId="1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right" vertical="top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9" fontId="2" fillId="0" borderId="0" xfId="0" applyNumberFormat="1" applyFont="1" applyFill="1" applyAlignment="1">
      <alignment horizontal="center"/>
    </xf>
    <xf numFmtId="4" fontId="2" fillId="0" borderId="3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/>
    </xf>
    <xf numFmtId="16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 vertical="top"/>
    </xf>
    <xf numFmtId="1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>
      <alignment horizontal="right" wrapText="1"/>
    </xf>
    <xf numFmtId="4" fontId="2" fillId="0" borderId="0" xfId="0" applyNumberFormat="1" applyFont="1" applyFill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4" fontId="2" fillId="0" borderId="3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2" fontId="2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7" fillId="0" borderId="0" xfId="0" applyFont="1"/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 wrapText="1"/>
    </xf>
    <xf numFmtId="0" fontId="1" fillId="0" borderId="3" xfId="0" applyFont="1" applyBorder="1"/>
    <xf numFmtId="0" fontId="2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right"/>
    </xf>
    <xf numFmtId="0" fontId="2" fillId="2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2" borderId="3" xfId="0" applyFont="1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top"/>
    </xf>
    <xf numFmtId="2" fontId="2" fillId="2" borderId="3" xfId="0" applyNumberFormat="1" applyFont="1" applyFill="1" applyBorder="1" applyAlignment="1">
      <alignment horizontal="left" vertical="top" wrapText="1"/>
    </xf>
    <xf numFmtId="2" fontId="2" fillId="0" borderId="3" xfId="0" applyNumberFormat="1" applyFont="1" applyBorder="1" applyAlignment="1">
      <alignment horizontal="right"/>
    </xf>
    <xf numFmtId="0" fontId="2" fillId="2" borderId="0" xfId="0" applyFont="1" applyFill="1" applyAlignment="1">
      <alignment horizontal="left"/>
    </xf>
    <xf numFmtId="9" fontId="2" fillId="2" borderId="0" xfId="0" applyNumberFormat="1" applyFont="1" applyFill="1" applyBorder="1" applyAlignment="1">
      <alignment horizontal="center"/>
    </xf>
    <xf numFmtId="9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2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9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 vertical="justify"/>
    </xf>
    <xf numFmtId="0" fontId="2" fillId="0" borderId="0" xfId="0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right" wrapText="1"/>
    </xf>
    <xf numFmtId="10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right"/>
    </xf>
    <xf numFmtId="9" fontId="2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left" vertical="justify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right" vertical="justify"/>
    </xf>
    <xf numFmtId="0" fontId="1" fillId="0" borderId="4" xfId="0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right"/>
    </xf>
    <xf numFmtId="10" fontId="0" fillId="0" borderId="0" xfId="0" applyNumberFormat="1"/>
    <xf numFmtId="2" fontId="0" fillId="0" borderId="0" xfId="0" applyNumberFormat="1"/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2" fontId="9" fillId="2" borderId="0" xfId="0" applyNumberFormat="1" applyFont="1" applyFill="1" applyAlignment="1">
      <alignment horizontal="center"/>
    </xf>
    <xf numFmtId="2" fontId="0" fillId="2" borderId="0" xfId="0" applyNumberFormat="1" applyFill="1"/>
    <xf numFmtId="2" fontId="2" fillId="2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right" vertical="top"/>
    </xf>
    <xf numFmtId="14" fontId="2" fillId="0" borderId="3" xfId="0" applyNumberFormat="1" applyFont="1" applyBorder="1" applyAlignment="1">
      <alignment horizontal="center" vertical="top"/>
    </xf>
    <xf numFmtId="0" fontId="1" fillId="2" borderId="0" xfId="0" applyFont="1" applyFill="1" applyAlignment="1">
      <alignment vertical="top" wrapText="1"/>
    </xf>
    <xf numFmtId="0" fontId="2" fillId="0" borderId="3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right" wrapText="1"/>
    </xf>
    <xf numFmtId="165" fontId="2" fillId="0" borderId="0" xfId="0" applyNumberFormat="1" applyFont="1" applyFill="1"/>
    <xf numFmtId="1" fontId="2" fillId="2" borderId="3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14" fontId="3" fillId="2" borderId="5" xfId="0" applyNumberFormat="1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1" fillId="2" borderId="0" xfId="0" quotePrefix="1" applyFont="1" applyFill="1" applyAlignment="1">
      <alignment horizontal="left"/>
    </xf>
    <xf numFmtId="0" fontId="1" fillId="0" borderId="0" xfId="0" applyNumberFormat="1" applyFont="1" applyFill="1" applyBorder="1" applyAlignment="1">
      <alignment horizontal="right" vertical="justify"/>
    </xf>
    <xf numFmtId="0" fontId="14" fillId="0" borderId="0" xfId="0" applyNumberFormat="1" applyFont="1" applyFill="1" applyBorder="1" applyAlignment="1">
      <alignment horizontal="left" vertical="justify"/>
    </xf>
    <xf numFmtId="164" fontId="14" fillId="0" borderId="0" xfId="0" applyNumberFormat="1" applyFont="1" applyFill="1" applyBorder="1" applyAlignment="1">
      <alignment horizontal="center" vertical="top" wrapText="1"/>
    </xf>
    <xf numFmtId="9" fontId="10" fillId="0" borderId="0" xfId="0" applyNumberFormat="1" applyFont="1" applyFill="1" applyBorder="1" applyAlignment="1">
      <alignment horizontal="center" wrapText="1"/>
    </xf>
    <xf numFmtId="9" fontId="11" fillId="2" borderId="0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right"/>
    </xf>
    <xf numFmtId="4" fontId="2" fillId="0" borderId="0" xfId="0" applyNumberFormat="1" applyFont="1" applyFill="1"/>
    <xf numFmtId="0" fontId="15" fillId="0" borderId="7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justify"/>
    </xf>
    <xf numFmtId="9" fontId="2" fillId="0" borderId="0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8"/>
  <sheetViews>
    <sheetView tabSelected="1" workbookViewId="0">
      <selection activeCell="F86" sqref="F86"/>
    </sheetView>
  </sheetViews>
  <sheetFormatPr defaultRowHeight="11.25"/>
  <cols>
    <col min="1" max="1" width="3.5703125" style="20" customWidth="1"/>
    <col min="2" max="2" width="13.7109375" style="20" customWidth="1"/>
    <col min="3" max="3" width="42.7109375" style="20" customWidth="1"/>
    <col min="4" max="4" width="7.42578125" style="20" customWidth="1"/>
    <col min="5" max="5" width="5.7109375" style="20" customWidth="1"/>
    <col min="6" max="6" width="6.5703125" style="19" customWidth="1"/>
    <col min="7" max="7" width="9.5703125" style="20" customWidth="1"/>
    <col min="8" max="8" width="13.5703125" style="20" customWidth="1"/>
    <col min="9" max="9" width="5" style="20" customWidth="1"/>
    <col min="10" max="16384" width="9.140625" style="20"/>
  </cols>
  <sheetData>
    <row r="1" spans="1:9">
      <c r="A1" s="41" t="s">
        <v>0</v>
      </c>
      <c r="B1" s="41"/>
      <c r="C1" s="41"/>
      <c r="D1" s="41"/>
      <c r="E1" s="41"/>
      <c r="F1" s="41"/>
      <c r="G1" s="41"/>
      <c r="H1" s="41"/>
    </row>
    <row r="2" spans="1:9">
      <c r="A2" s="41" t="s">
        <v>185</v>
      </c>
      <c r="B2" s="42"/>
      <c r="C2" s="42"/>
      <c r="D2" s="42"/>
      <c r="E2" s="42"/>
      <c r="F2" s="42"/>
      <c r="G2" s="42"/>
      <c r="H2" s="42"/>
    </row>
    <row r="3" spans="1:9">
      <c r="A3" s="42"/>
      <c r="B3" s="18" t="s">
        <v>1</v>
      </c>
      <c r="C3" s="69" t="s">
        <v>206</v>
      </c>
      <c r="G3" s="42"/>
      <c r="H3" s="42"/>
    </row>
    <row r="4" spans="1:9">
      <c r="A4" s="42"/>
      <c r="B4" s="112" t="s">
        <v>2</v>
      </c>
      <c r="C4" s="70" t="s">
        <v>207</v>
      </c>
      <c r="D4" s="124"/>
      <c r="E4" s="112" t="s">
        <v>90</v>
      </c>
      <c r="F4" s="127" t="s">
        <v>188</v>
      </c>
      <c r="G4" s="125" t="s">
        <v>91</v>
      </c>
      <c r="H4" s="126">
        <v>45812</v>
      </c>
    </row>
    <row r="5" spans="1:9">
      <c r="A5" s="42"/>
      <c r="B5" s="18" t="s">
        <v>181</v>
      </c>
      <c r="C5" s="70" t="s">
        <v>208</v>
      </c>
      <c r="E5" s="18" t="s">
        <v>3</v>
      </c>
      <c r="F5" s="128" t="s">
        <v>211</v>
      </c>
      <c r="G5" s="42"/>
      <c r="H5" s="42"/>
    </row>
    <row r="6" spans="1:9" ht="25.5" customHeight="1">
      <c r="A6" s="42"/>
      <c r="B6" s="112" t="s">
        <v>4</v>
      </c>
      <c r="C6" s="114" t="s">
        <v>209</v>
      </c>
      <c r="E6" s="112" t="s">
        <v>5</v>
      </c>
      <c r="F6" s="139" t="s">
        <v>212</v>
      </c>
      <c r="G6" s="139"/>
      <c r="H6" s="139"/>
    </row>
    <row r="7" spans="1:9" ht="12" customHeight="1">
      <c r="A7" s="42"/>
      <c r="B7" s="112" t="s">
        <v>6</v>
      </c>
      <c r="C7" s="114" t="s">
        <v>210</v>
      </c>
      <c r="E7" s="17"/>
      <c r="F7" s="139"/>
      <c r="G7" s="139"/>
      <c r="H7" s="139"/>
    </row>
    <row r="8" spans="1:9" ht="14.25" customHeight="1" thickBot="1">
      <c r="A8" s="109">
        <f>ОУ!A62</f>
        <v>6.26</v>
      </c>
      <c r="B8" s="108" t="s">
        <v>69</v>
      </c>
      <c r="F8" s="20"/>
      <c r="H8" s="107" t="s">
        <v>173</v>
      </c>
    </row>
    <row r="9" spans="1:9" ht="23.25" thickBot="1">
      <c r="A9" s="100" t="s">
        <v>7</v>
      </c>
      <c r="B9" s="3" t="s">
        <v>8</v>
      </c>
      <c r="C9" s="3" t="s">
        <v>9</v>
      </c>
      <c r="D9" s="2" t="s">
        <v>10</v>
      </c>
      <c r="E9" s="2" t="s">
        <v>11</v>
      </c>
      <c r="F9" s="2" t="s">
        <v>12</v>
      </c>
      <c r="G9" s="2" t="s">
        <v>13</v>
      </c>
      <c r="H9" s="4" t="s">
        <v>14</v>
      </c>
    </row>
    <row r="10" spans="1:9" ht="11.25" customHeight="1">
      <c r="A10" s="5">
        <v>1</v>
      </c>
      <c r="B10" s="6" t="s">
        <v>73</v>
      </c>
      <c r="C10" s="10" t="s">
        <v>92</v>
      </c>
      <c r="D10" s="7" t="s">
        <v>15</v>
      </c>
      <c r="E10" s="8"/>
      <c r="F10" s="46"/>
      <c r="G10" s="9">
        <v>300</v>
      </c>
      <c r="H10" s="22">
        <f>F10*G10</f>
        <v>0</v>
      </c>
    </row>
    <row r="11" spans="1:9" s="17" customFormat="1" ht="11.25" customHeight="1">
      <c r="A11" s="11"/>
      <c r="B11" s="7"/>
      <c r="C11" s="49" t="s">
        <v>94</v>
      </c>
      <c r="D11" s="7"/>
      <c r="E11" s="5"/>
      <c r="F11" s="5"/>
      <c r="G11" s="9"/>
      <c r="H11" s="22"/>
      <c r="I11" s="20"/>
    </row>
    <row r="12" spans="1:9" s="17" customFormat="1" ht="11.25" customHeight="1">
      <c r="A12" s="5">
        <f>A10+1</f>
        <v>2</v>
      </c>
      <c r="B12" s="6" t="s">
        <v>93</v>
      </c>
      <c r="C12" s="13" t="s">
        <v>100</v>
      </c>
      <c r="D12" s="7" t="s">
        <v>95</v>
      </c>
      <c r="E12" s="47">
        <v>1</v>
      </c>
      <c r="F12" s="46"/>
      <c r="G12" s="9">
        <f>IF(E12=1,134,IF(E12=2,213,IF(E12=3,323,0)))</f>
        <v>134</v>
      </c>
      <c r="H12" s="22">
        <f>F12*G12</f>
        <v>0</v>
      </c>
      <c r="I12" s="20"/>
    </row>
    <row r="13" spans="1:9" s="17" customFormat="1" ht="11.25" customHeight="1">
      <c r="A13" s="5">
        <f>A12+1</f>
        <v>3</v>
      </c>
      <c r="B13" s="6" t="s">
        <v>101</v>
      </c>
      <c r="C13" s="13" t="s">
        <v>96</v>
      </c>
      <c r="D13" s="7" t="s">
        <v>95</v>
      </c>
      <c r="E13" s="47">
        <v>1</v>
      </c>
      <c r="F13" s="46"/>
      <c r="G13" s="9">
        <f>IF(E13=1,30,IF(E13=2,41,IF(E13=3,54,0)))</f>
        <v>30</v>
      </c>
      <c r="H13" s="22">
        <f>F13*G13</f>
        <v>0</v>
      </c>
      <c r="I13" s="20"/>
    </row>
    <row r="14" spans="1:9" s="17" customFormat="1" ht="11.25" customHeight="1">
      <c r="A14" s="11"/>
      <c r="B14" s="7"/>
      <c r="C14" s="49" t="s">
        <v>97</v>
      </c>
      <c r="D14" s="7"/>
      <c r="E14" s="5"/>
      <c r="F14" s="5"/>
      <c r="G14" s="9"/>
      <c r="H14" s="22"/>
      <c r="I14" s="20"/>
    </row>
    <row r="15" spans="1:9" s="17" customFormat="1" ht="11.25" customHeight="1">
      <c r="A15" s="5">
        <f>A13+1</f>
        <v>4</v>
      </c>
      <c r="B15" s="6" t="s">
        <v>99</v>
      </c>
      <c r="C15" s="13" t="s">
        <v>98</v>
      </c>
      <c r="D15" s="7" t="s">
        <v>17</v>
      </c>
      <c r="E15" s="47">
        <v>3</v>
      </c>
      <c r="F15" s="46"/>
      <c r="G15" s="9">
        <f>IF(E15=1,3500,IF(E15=2,4500,IF(E15=3,10000,0)))/A8</f>
        <v>1597.4440894568691</v>
      </c>
      <c r="H15" s="22">
        <f>F15*G15</f>
        <v>0</v>
      </c>
      <c r="I15" s="20"/>
    </row>
    <row r="16" spans="1:9" s="17" customFormat="1" ht="12" customHeight="1">
      <c r="A16" s="5">
        <f>A15+1</f>
        <v>5</v>
      </c>
      <c r="B16" s="113" t="s">
        <v>74</v>
      </c>
      <c r="C16" s="116" t="s">
        <v>187</v>
      </c>
      <c r="D16" s="11" t="s">
        <v>18</v>
      </c>
      <c r="E16" s="47">
        <v>2</v>
      </c>
      <c r="F16" s="122"/>
      <c r="G16" s="9">
        <f>IF(E16=1,740,IF(E16=2,1074,IF(E16=3,1555,0)))</f>
        <v>1074</v>
      </c>
      <c r="H16" s="22">
        <f>F16*G16</f>
        <v>0</v>
      </c>
      <c r="I16" s="20"/>
    </row>
    <row r="17" spans="1:9" s="17" customFormat="1" ht="11.25" customHeight="1">
      <c r="A17" s="5">
        <f>A16+1</f>
        <v>6</v>
      </c>
      <c r="B17" s="6" t="s">
        <v>75</v>
      </c>
      <c r="C17" s="115" t="s">
        <v>186</v>
      </c>
      <c r="D17" s="7" t="s">
        <v>18</v>
      </c>
      <c r="E17" s="101">
        <f>E16</f>
        <v>2</v>
      </c>
      <c r="F17" s="123"/>
      <c r="G17" s="9">
        <f>IF(E17=1,233,IF(E17=2,362,IF(E17=3,629,0)))</f>
        <v>362</v>
      </c>
      <c r="H17" s="22">
        <f>F17*G17</f>
        <v>0</v>
      </c>
      <c r="I17" s="20"/>
    </row>
    <row r="18" spans="1:9" s="17" customFormat="1" ht="11.25" customHeight="1">
      <c r="A18" s="11"/>
      <c r="B18" s="7"/>
      <c r="C18" s="49" t="s">
        <v>32</v>
      </c>
      <c r="D18" s="7"/>
      <c r="E18" s="5"/>
      <c r="F18" s="5"/>
      <c r="G18" s="9"/>
      <c r="H18" s="22"/>
      <c r="I18" s="20"/>
    </row>
    <row r="19" spans="1:9" s="17" customFormat="1" ht="11.25" customHeight="1">
      <c r="A19" s="50">
        <f>A17+1</f>
        <v>7</v>
      </c>
      <c r="B19" s="6" t="s">
        <v>36</v>
      </c>
      <c r="C19" s="51" t="s">
        <v>33</v>
      </c>
      <c r="D19" s="7" t="s">
        <v>19</v>
      </c>
      <c r="E19" s="52">
        <v>3</v>
      </c>
      <c r="F19" s="48"/>
      <c r="G19" s="9">
        <f>IF(E19=1,1723,IF(E19=2,2432,IF(E19=3,3288,0)))</f>
        <v>3288</v>
      </c>
      <c r="H19" s="22">
        <f>F19*G19</f>
        <v>0</v>
      </c>
      <c r="I19" s="20"/>
    </row>
    <row r="20" spans="1:9" ht="11.25" customHeight="1">
      <c r="A20" s="50">
        <f>A19+1</f>
        <v>8</v>
      </c>
      <c r="B20" s="7" t="s">
        <v>195</v>
      </c>
      <c r="C20" s="53" t="s">
        <v>20</v>
      </c>
      <c r="D20" s="7" t="s">
        <v>19</v>
      </c>
      <c r="E20" s="54">
        <v>3</v>
      </c>
      <c r="F20" s="39">
        <f>F19</f>
        <v>0</v>
      </c>
      <c r="G20" s="9">
        <f>IF(E20=1,418,IF(E20=2,589,IF(E20=3,791,0)))</f>
        <v>791</v>
      </c>
      <c r="H20" s="22">
        <f>F20*G20</f>
        <v>0</v>
      </c>
    </row>
    <row r="21" spans="1:9" ht="11.25" customHeight="1">
      <c r="A21" s="50">
        <f>A20+1</f>
        <v>9</v>
      </c>
      <c r="B21" s="7" t="s">
        <v>196</v>
      </c>
      <c r="C21" s="51" t="s">
        <v>34</v>
      </c>
      <c r="D21" s="7" t="s">
        <v>19</v>
      </c>
      <c r="E21" s="52">
        <v>2</v>
      </c>
      <c r="F21" s="48">
        <v>10</v>
      </c>
      <c r="G21" s="9">
        <f>IF(E21=1,2233,IF(E21=2,3284,IF(E21=3,4824,0)))</f>
        <v>3284</v>
      </c>
      <c r="H21" s="22">
        <f>F21*G21</f>
        <v>32840</v>
      </c>
    </row>
    <row r="22" spans="1:9" ht="11.25" customHeight="1">
      <c r="A22" s="50">
        <f>A21+1</f>
        <v>10</v>
      </c>
      <c r="B22" s="7" t="s">
        <v>197</v>
      </c>
      <c r="C22" s="53" t="s">
        <v>20</v>
      </c>
      <c r="D22" s="7" t="s">
        <v>19</v>
      </c>
      <c r="E22" s="52">
        <v>2</v>
      </c>
      <c r="F22" s="39">
        <f>F21</f>
        <v>10</v>
      </c>
      <c r="G22" s="9">
        <f>IF(E22=1,737,IF(E22=2,1067,IF(E22=3,1559,0)))</f>
        <v>1067</v>
      </c>
      <c r="H22" s="22">
        <f>F22*G22</f>
        <v>10670</v>
      </c>
    </row>
    <row r="23" spans="1:9" s="17" customFormat="1" ht="11.25" customHeight="1">
      <c r="A23" s="11"/>
      <c r="B23" s="7"/>
      <c r="C23" s="49" t="s">
        <v>37</v>
      </c>
      <c r="D23" s="7"/>
      <c r="E23" s="5"/>
      <c r="F23" s="5"/>
      <c r="G23" s="9"/>
      <c r="H23" s="22"/>
      <c r="I23" s="20"/>
    </row>
    <row r="24" spans="1:9" s="17" customFormat="1" ht="11.25" customHeight="1">
      <c r="A24" s="50">
        <f>A22+1</f>
        <v>11</v>
      </c>
      <c r="B24" s="6" t="s">
        <v>36</v>
      </c>
      <c r="C24" s="51" t="s">
        <v>33</v>
      </c>
      <c r="D24" s="7" t="s">
        <v>19</v>
      </c>
      <c r="E24" s="52">
        <v>2</v>
      </c>
      <c r="F24" s="48"/>
      <c r="G24" s="9">
        <f>IF(E24=1,1723,IF(E24=2,2432,IF(E24=3,3288,0)))*0.5</f>
        <v>1216</v>
      </c>
      <c r="H24" s="22">
        <f t="shared" ref="H24:H29" si="0">F24*G24</f>
        <v>0</v>
      </c>
      <c r="I24" s="20"/>
    </row>
    <row r="25" spans="1:9" ht="11.25" customHeight="1">
      <c r="A25" s="50">
        <f>A24+1</f>
        <v>12</v>
      </c>
      <c r="B25" s="7"/>
      <c r="C25" s="53" t="s">
        <v>20</v>
      </c>
      <c r="D25" s="7" t="s">
        <v>19</v>
      </c>
      <c r="E25" s="54">
        <v>2</v>
      </c>
      <c r="F25" s="39">
        <f>F24</f>
        <v>0</v>
      </c>
      <c r="G25" s="9">
        <f>IF(E25=1,418,IF(E25=2,589,IF(E25=3,791,0)))*0.5</f>
        <v>294.5</v>
      </c>
      <c r="H25" s="22">
        <f t="shared" si="0"/>
        <v>0</v>
      </c>
    </row>
    <row r="26" spans="1:9" ht="11.25" customHeight="1">
      <c r="A26" s="50">
        <f>A25+1</f>
        <v>13</v>
      </c>
      <c r="B26" s="6"/>
      <c r="C26" s="51" t="s">
        <v>34</v>
      </c>
      <c r="D26" s="7" t="s">
        <v>19</v>
      </c>
      <c r="E26" s="52">
        <v>2</v>
      </c>
      <c r="F26" s="48"/>
      <c r="G26" s="9">
        <f>IF(E26=1,2233,IF(E26=2,3284,IF(E26=3,4824,0)))*0.5</f>
        <v>1642</v>
      </c>
      <c r="H26" s="22">
        <f t="shared" si="0"/>
        <v>0</v>
      </c>
    </row>
    <row r="27" spans="1:9" ht="11.25" customHeight="1">
      <c r="A27" s="50">
        <f>A26+1</f>
        <v>14</v>
      </c>
      <c r="B27" s="7"/>
      <c r="C27" s="53" t="s">
        <v>20</v>
      </c>
      <c r="D27" s="7" t="s">
        <v>19</v>
      </c>
      <c r="E27" s="52">
        <v>2</v>
      </c>
      <c r="F27" s="39">
        <f>F26</f>
        <v>0</v>
      </c>
      <c r="G27" s="9">
        <f>IF(E27=1,737,IF(E27=2,1067,IF(E27=3,1559,0)))*0.5</f>
        <v>533.5</v>
      </c>
      <c r="H27" s="22">
        <f t="shared" si="0"/>
        <v>0</v>
      </c>
    </row>
    <row r="28" spans="1:9" ht="11.25" customHeight="1">
      <c r="A28" s="50">
        <f>A27+1</f>
        <v>15</v>
      </c>
      <c r="B28" s="6"/>
      <c r="C28" s="51" t="s">
        <v>35</v>
      </c>
      <c r="D28" s="7" t="s">
        <v>19</v>
      </c>
      <c r="E28" s="54">
        <v>2</v>
      </c>
      <c r="F28" s="55"/>
      <c r="G28" s="9">
        <f>IF(E28=1,3007,IF(E28=2,4632,IF(E28=3,6195,0)))*0.5</f>
        <v>2316</v>
      </c>
      <c r="H28" s="22">
        <f t="shared" si="0"/>
        <v>0</v>
      </c>
    </row>
    <row r="29" spans="1:9" ht="11.25" customHeight="1">
      <c r="A29" s="50">
        <f>A28+1</f>
        <v>16</v>
      </c>
      <c r="B29" s="7"/>
      <c r="C29" s="53" t="s">
        <v>20</v>
      </c>
      <c r="D29" s="7" t="s">
        <v>19</v>
      </c>
      <c r="E29" s="54">
        <v>2</v>
      </c>
      <c r="F29" s="39">
        <f>F28</f>
        <v>0</v>
      </c>
      <c r="G29" s="9">
        <f>IF(E29=1,1268,IF(E29=2,1938,IF(E29=3,2558,0)))*0.5</f>
        <v>969</v>
      </c>
      <c r="H29" s="22">
        <f t="shared" si="0"/>
        <v>0</v>
      </c>
    </row>
    <row r="30" spans="1:9" ht="11.25" customHeight="1">
      <c r="A30" s="10"/>
      <c r="B30" s="7"/>
      <c r="C30" s="49" t="s">
        <v>38</v>
      </c>
      <c r="D30" s="7"/>
      <c r="E30" s="56"/>
      <c r="F30" s="7"/>
      <c r="G30" s="57"/>
      <c r="H30" s="30"/>
    </row>
    <row r="31" spans="1:9" ht="11.25" customHeight="1">
      <c r="A31" s="50">
        <f>A29+1</f>
        <v>17</v>
      </c>
      <c r="B31" s="6" t="s">
        <v>76</v>
      </c>
      <c r="C31" s="53" t="s">
        <v>39</v>
      </c>
      <c r="D31" s="53" t="s">
        <v>40</v>
      </c>
      <c r="E31" s="24">
        <f>IF(F19+F21+F24+F26+F28&lt;1,0.4,IF(F19+F21+F24+F26+F28&lt;5,0.2,0))</f>
        <v>0</v>
      </c>
      <c r="F31" s="25"/>
      <c r="G31" s="9"/>
      <c r="H31" s="58">
        <f>(H19+H21+H24+H26+H28)*E31</f>
        <v>0</v>
      </c>
    </row>
    <row r="32" spans="1:9" ht="11.25" customHeight="1">
      <c r="A32" s="50">
        <f>A31+1</f>
        <v>18</v>
      </c>
      <c r="B32" s="6" t="s">
        <v>76</v>
      </c>
      <c r="C32" s="53" t="s">
        <v>41</v>
      </c>
      <c r="D32" s="59"/>
      <c r="E32" s="24" t="s">
        <v>42</v>
      </c>
      <c r="F32" s="25">
        <f>IF(D32&lt;70,IF(D32&lt;&gt;0,0.2,0),0)</f>
        <v>0</v>
      </c>
      <c r="G32" s="9"/>
      <c r="H32" s="58">
        <f>IF(E31=0,(H19+H21+H24+H26+H28)*F32,0)</f>
        <v>0</v>
      </c>
    </row>
    <row r="33" spans="1:8" ht="11.25" customHeight="1">
      <c r="A33" s="10"/>
      <c r="B33" s="6"/>
      <c r="C33" s="49" t="s">
        <v>89</v>
      </c>
      <c r="D33" s="7"/>
      <c r="E33" s="56"/>
      <c r="F33" s="7"/>
      <c r="G33" s="57"/>
      <c r="H33" s="30"/>
    </row>
    <row r="34" spans="1:8" ht="11.25" customHeight="1">
      <c r="A34" s="117">
        <f>A32+1</f>
        <v>19</v>
      </c>
      <c r="B34" s="118" t="s">
        <v>77</v>
      </c>
      <c r="C34" s="119" t="s">
        <v>21</v>
      </c>
      <c r="D34" s="118" t="s">
        <v>22</v>
      </c>
      <c r="E34" s="54">
        <v>2</v>
      </c>
      <c r="F34" s="60"/>
      <c r="G34" s="9">
        <f>IF(E34=1,81,IF(E34=2,111,IF(E34=3,141,0)))</f>
        <v>111</v>
      </c>
      <c r="H34" s="22">
        <f>F34*G34</f>
        <v>0</v>
      </c>
    </row>
    <row r="35" spans="1:8" ht="12.75" customHeight="1">
      <c r="A35" s="50">
        <f>A34+1</f>
        <v>20</v>
      </c>
      <c r="B35" s="6" t="s">
        <v>78</v>
      </c>
      <c r="C35" s="12" t="s">
        <v>23</v>
      </c>
      <c r="D35" s="7" t="s">
        <v>22</v>
      </c>
      <c r="E35" s="54">
        <v>2</v>
      </c>
      <c r="F35" s="60"/>
      <c r="G35" s="9">
        <f>IF(E35=1,96,IF(E35=2,127,IF(E35=3,178,0)))</f>
        <v>127</v>
      </c>
      <c r="H35" s="22">
        <f>F35*G35</f>
        <v>0</v>
      </c>
    </row>
    <row r="36" spans="1:8" ht="11.25" customHeight="1">
      <c r="A36" s="50">
        <f>A35+1</f>
        <v>21</v>
      </c>
      <c r="B36" s="6" t="s">
        <v>81</v>
      </c>
      <c r="C36" s="53" t="s">
        <v>82</v>
      </c>
      <c r="D36" s="53" t="s">
        <v>40</v>
      </c>
      <c r="E36" s="61">
        <v>0.8</v>
      </c>
      <c r="F36" s="25"/>
      <c r="G36" s="9"/>
      <c r="H36" s="58">
        <f>IF(E36&lt;&gt;0,(H34+H35)*0.8-H34-H35,0)</f>
        <v>0</v>
      </c>
    </row>
    <row r="37" spans="1:8" ht="11.25" customHeight="1">
      <c r="A37" s="50">
        <f>A36+1</f>
        <v>22</v>
      </c>
      <c r="B37" s="6" t="s">
        <v>80</v>
      </c>
      <c r="C37" s="53" t="s">
        <v>79</v>
      </c>
      <c r="D37" s="53" t="s">
        <v>40</v>
      </c>
      <c r="E37" s="24">
        <f>IF(F37&gt;1,IF(F37&lt;=3,0.3,0.5),0)</f>
        <v>0</v>
      </c>
      <c r="F37" s="55"/>
      <c r="G37" s="9"/>
      <c r="H37" s="58">
        <f>(H34+H35+H36)*E37</f>
        <v>0</v>
      </c>
    </row>
    <row r="38" spans="1:8" ht="11.25" customHeight="1">
      <c r="A38" s="10"/>
      <c r="B38" s="6"/>
      <c r="C38" s="49" t="s">
        <v>108</v>
      </c>
      <c r="D38" s="7"/>
      <c r="E38" s="56"/>
      <c r="F38" s="7"/>
      <c r="G38" s="57"/>
      <c r="H38" s="30"/>
    </row>
    <row r="39" spans="1:8" ht="11.25" customHeight="1">
      <c r="A39" s="50">
        <f>A37+1</f>
        <v>23</v>
      </c>
      <c r="B39" s="6" t="s">
        <v>43</v>
      </c>
      <c r="C39" s="10" t="s">
        <v>102</v>
      </c>
      <c r="D39" s="7" t="s">
        <v>22</v>
      </c>
      <c r="E39" s="23"/>
      <c r="F39" s="60"/>
      <c r="G39" s="9">
        <f>IF(F39&gt;=20,36,IF(F39&lt;10,81,54))</f>
        <v>81</v>
      </c>
      <c r="H39" s="22">
        <f>F39*G39</f>
        <v>0</v>
      </c>
    </row>
    <row r="40" spans="1:8" ht="11.25" customHeight="1">
      <c r="A40" s="50">
        <f t="shared" ref="A40:A58" si="1">A39+1</f>
        <v>24</v>
      </c>
      <c r="B40" s="6" t="s">
        <v>43</v>
      </c>
      <c r="C40" s="10" t="s">
        <v>103</v>
      </c>
      <c r="D40" s="7" t="s">
        <v>22</v>
      </c>
      <c r="E40" s="23"/>
      <c r="F40" s="60"/>
      <c r="G40" s="9">
        <f>IF(F40&gt;=20,32,IF(F40&lt;10,74,50))</f>
        <v>74</v>
      </c>
      <c r="H40" s="22">
        <f>F40*G40</f>
        <v>0</v>
      </c>
    </row>
    <row r="41" spans="1:8" ht="11.25" customHeight="1">
      <c r="A41" s="50">
        <f t="shared" si="1"/>
        <v>25</v>
      </c>
      <c r="B41" s="6" t="s">
        <v>43</v>
      </c>
      <c r="C41" s="10" t="s">
        <v>104</v>
      </c>
      <c r="D41" s="7" t="s">
        <v>22</v>
      </c>
      <c r="E41" s="23"/>
      <c r="F41" s="60"/>
      <c r="G41" s="9">
        <f>IF(F41&gt;=20,49,IF(F41&lt;10,103,70))</f>
        <v>103</v>
      </c>
      <c r="H41" s="22">
        <f>F41*G41</f>
        <v>0</v>
      </c>
    </row>
    <row r="42" spans="1:8" ht="11.25" customHeight="1">
      <c r="A42" s="50">
        <f t="shared" si="1"/>
        <v>26</v>
      </c>
      <c r="B42" s="6" t="s">
        <v>83</v>
      </c>
      <c r="C42" s="26" t="s">
        <v>72</v>
      </c>
      <c r="D42" s="1"/>
      <c r="E42" s="12" t="s">
        <v>40</v>
      </c>
      <c r="F42" s="62"/>
      <c r="G42" s="1"/>
      <c r="H42" s="22">
        <f>-H41*F42</f>
        <v>0</v>
      </c>
    </row>
    <row r="43" spans="1:8" ht="11.25" customHeight="1">
      <c r="A43" s="50">
        <f t="shared" si="1"/>
        <v>27</v>
      </c>
      <c r="B43" s="6" t="s">
        <v>43</v>
      </c>
      <c r="C43" s="10" t="s">
        <v>105</v>
      </c>
      <c r="D43" s="7" t="s">
        <v>22</v>
      </c>
      <c r="E43" s="23"/>
      <c r="F43" s="60"/>
      <c r="G43" s="9">
        <f>IF(F43&gt;=20,40,IF(F43&lt;10,81,57))</f>
        <v>81</v>
      </c>
      <c r="H43" s="22">
        <f>G43*F43</f>
        <v>0</v>
      </c>
    </row>
    <row r="44" spans="1:8" ht="11.25" customHeight="1">
      <c r="A44" s="50">
        <f t="shared" si="1"/>
        <v>28</v>
      </c>
      <c r="B44" s="6" t="s">
        <v>71</v>
      </c>
      <c r="C44" s="10" t="s">
        <v>106</v>
      </c>
      <c r="D44" s="7" t="s">
        <v>109</v>
      </c>
      <c r="E44" s="23">
        <f>IF(F44&lt;10,3,IF(F44&gt;=20,IF(F46&lt;=2,1,IF(F46&gt;4,3,2)),IF(F46&lt;=4,2,3)))</f>
        <v>3</v>
      </c>
      <c r="F44" s="60"/>
      <c r="G44" s="9">
        <f>IF(E44=1,38,IF(E44=2,46,IF(E44=3,64,0)))</f>
        <v>64</v>
      </c>
      <c r="H44" s="22">
        <f>F44*G44</f>
        <v>0</v>
      </c>
    </row>
    <row r="45" spans="1:8" ht="11.25" customHeight="1">
      <c r="A45" s="50">
        <f t="shared" si="1"/>
        <v>29</v>
      </c>
      <c r="B45" s="6" t="s">
        <v>71</v>
      </c>
      <c r="C45" s="10" t="s">
        <v>110</v>
      </c>
      <c r="D45" s="7" t="s">
        <v>22</v>
      </c>
      <c r="E45" s="23">
        <f>IF(F45&lt;10,3,IF(F45&gt;=20,IF(F46&lt;=2,1,IF(F46&gt;4,3,2)),IF(F46&lt;=4,2,3)))</f>
        <v>3</v>
      </c>
      <c r="F45" s="60"/>
      <c r="G45" s="9">
        <f>IF(E45=1,44,IF(E45=2,56,IF(E45=3,72)))</f>
        <v>72</v>
      </c>
      <c r="H45" s="22">
        <f>F45*G45</f>
        <v>0</v>
      </c>
    </row>
    <row r="46" spans="1:8" ht="11.25" customHeight="1">
      <c r="A46" s="50">
        <f t="shared" si="1"/>
        <v>30</v>
      </c>
      <c r="B46" s="6"/>
      <c r="C46" s="10"/>
      <c r="D46" s="53" t="s">
        <v>184</v>
      </c>
      <c r="E46" s="11" t="s">
        <v>44</v>
      </c>
      <c r="F46" s="60"/>
      <c r="G46" s="9"/>
      <c r="H46" s="22"/>
    </row>
    <row r="47" spans="1:8" ht="11.25" customHeight="1">
      <c r="A47" s="50">
        <f t="shared" si="1"/>
        <v>31</v>
      </c>
      <c r="B47" s="6" t="s">
        <v>45</v>
      </c>
      <c r="C47" s="10" t="s">
        <v>84</v>
      </c>
      <c r="D47" s="7" t="s">
        <v>22</v>
      </c>
      <c r="E47" s="54">
        <v>1</v>
      </c>
      <c r="F47" s="60"/>
      <c r="G47" s="9">
        <f>IF(E47=1,71,IF(E47=2,115,IF(E47=3,153,0)))</f>
        <v>71</v>
      </c>
      <c r="H47" s="22">
        <f>F47*G47</f>
        <v>0</v>
      </c>
    </row>
    <row r="48" spans="1:8" ht="11.25" customHeight="1">
      <c r="A48" s="50">
        <f t="shared" si="1"/>
        <v>32</v>
      </c>
      <c r="B48" s="6"/>
      <c r="C48" s="10" t="s">
        <v>46</v>
      </c>
      <c r="D48" s="7" t="s">
        <v>22</v>
      </c>
      <c r="E48" s="54">
        <v>1</v>
      </c>
      <c r="F48" s="60"/>
      <c r="G48" s="9">
        <f>IF(E48=1,76,IF(E48=2,113,IF(E48=3,168,IF(E48=4,250,IF(E48&lt;&gt;0,371,0)))))</f>
        <v>76</v>
      </c>
      <c r="H48" s="22">
        <f>F48*G48</f>
        <v>0</v>
      </c>
    </row>
    <row r="49" spans="1:10" ht="11.25" customHeight="1">
      <c r="A49" s="50">
        <f t="shared" si="1"/>
        <v>33</v>
      </c>
      <c r="B49" s="6"/>
      <c r="C49" s="10"/>
      <c r="D49" s="7"/>
      <c r="E49" s="26" t="s">
        <v>47</v>
      </c>
      <c r="F49" s="12" t="s">
        <v>40</v>
      </c>
      <c r="G49" s="62"/>
      <c r="H49" s="22">
        <f>IF(G49=0,0,(H47+H48)*G49-(H47+H48))</f>
        <v>0</v>
      </c>
    </row>
    <row r="50" spans="1:10" ht="11.25" customHeight="1">
      <c r="A50" s="10"/>
      <c r="B50" s="6"/>
      <c r="C50" s="49" t="s">
        <v>107</v>
      </c>
      <c r="D50" s="7"/>
      <c r="E50" s="56"/>
      <c r="F50" s="7"/>
      <c r="G50" s="57"/>
      <c r="H50" s="30"/>
    </row>
    <row r="51" spans="1:10" ht="11.25" customHeight="1">
      <c r="A51" s="50">
        <f>A49+1</f>
        <v>34</v>
      </c>
      <c r="B51" s="6" t="s">
        <v>189</v>
      </c>
      <c r="C51" s="10" t="s">
        <v>191</v>
      </c>
      <c r="D51" s="7" t="s">
        <v>19</v>
      </c>
      <c r="E51" s="60">
        <v>4</v>
      </c>
      <c r="F51" s="60">
        <v>10</v>
      </c>
      <c r="G51" s="9">
        <f>IF(E51&lt;=4,320,IF(E51&lt;=6,551,IF(E51&gt;6,961,0)))</f>
        <v>320</v>
      </c>
      <c r="H51" s="22">
        <f>F51*G51</f>
        <v>3200</v>
      </c>
    </row>
    <row r="52" spans="1:10" ht="11.25" customHeight="1">
      <c r="A52" s="50">
        <f>A51+1</f>
        <v>35</v>
      </c>
      <c r="B52" s="6" t="s">
        <v>189</v>
      </c>
      <c r="C52" s="10" t="s">
        <v>192</v>
      </c>
      <c r="D52" s="7" t="s">
        <v>19</v>
      </c>
      <c r="E52" s="60">
        <v>4</v>
      </c>
      <c r="F52" s="60"/>
      <c r="G52" s="9">
        <f>IF(E52&lt;=4,320,IF(E52&lt;=6,551,IF(E52&gt;6,961,0)))*0.7</f>
        <v>224</v>
      </c>
      <c r="H52" s="22">
        <f>F52*G52</f>
        <v>0</v>
      </c>
    </row>
    <row r="53" spans="1:10" ht="11.25" customHeight="1">
      <c r="A53" s="50">
        <f t="shared" ref="A53:A56" si="2">A52+1</f>
        <v>36</v>
      </c>
      <c r="B53" s="6" t="s">
        <v>48</v>
      </c>
      <c r="C53" s="10" t="s">
        <v>190</v>
      </c>
      <c r="D53" s="7" t="s">
        <v>22</v>
      </c>
      <c r="E53" s="23"/>
      <c r="F53" s="121"/>
      <c r="G53" s="9">
        <v>23</v>
      </c>
      <c r="H53" s="22">
        <f t="shared" ref="H53:H57" si="3">F53*G53</f>
        <v>0</v>
      </c>
    </row>
    <row r="54" spans="1:10" ht="11.25" customHeight="1">
      <c r="A54" s="50">
        <f t="shared" si="2"/>
        <v>37</v>
      </c>
      <c r="B54" s="6" t="s">
        <v>202</v>
      </c>
      <c r="C54" s="10" t="s">
        <v>193</v>
      </c>
      <c r="D54" s="7" t="s">
        <v>194</v>
      </c>
      <c r="E54" s="23"/>
      <c r="F54" s="60">
        <v>6</v>
      </c>
      <c r="G54" s="9">
        <v>480</v>
      </c>
      <c r="H54" s="22">
        <f t="shared" si="3"/>
        <v>2880</v>
      </c>
    </row>
    <row r="55" spans="1:10" ht="11.25" customHeight="1">
      <c r="A55" s="50">
        <f t="shared" si="2"/>
        <v>38</v>
      </c>
      <c r="B55" s="6" t="s">
        <v>203</v>
      </c>
      <c r="C55" s="10" t="s">
        <v>204</v>
      </c>
      <c r="D55" s="136" t="s">
        <v>205</v>
      </c>
      <c r="E55" s="137"/>
      <c r="F55" s="137"/>
      <c r="G55" s="138"/>
      <c r="H55" s="134">
        <v>5500</v>
      </c>
    </row>
    <row r="56" spans="1:10" ht="11.25" customHeight="1">
      <c r="A56" s="50">
        <f t="shared" si="2"/>
        <v>39</v>
      </c>
      <c r="B56" s="14" t="s">
        <v>114</v>
      </c>
      <c r="C56" s="10" t="s">
        <v>112</v>
      </c>
      <c r="D56" s="7" t="s">
        <v>16</v>
      </c>
      <c r="E56" s="60">
        <v>1</v>
      </c>
      <c r="F56" s="60"/>
      <c r="G56" s="63">
        <f>IF(E56=0,183.44*2,IF(E56=1,183.44,IF(E56=2,183.44/2,IF(E56=3,183.44/4,183.44/8))))</f>
        <v>183.44</v>
      </c>
      <c r="H56" s="22">
        <f t="shared" si="3"/>
        <v>0</v>
      </c>
    </row>
    <row r="57" spans="1:10" ht="11.25" customHeight="1">
      <c r="A57" s="50">
        <f t="shared" si="1"/>
        <v>40</v>
      </c>
      <c r="B57" s="14" t="s">
        <v>115</v>
      </c>
      <c r="C57" s="10" t="s">
        <v>113</v>
      </c>
      <c r="D57" s="7" t="s">
        <v>31</v>
      </c>
      <c r="E57" s="60">
        <v>1</v>
      </c>
      <c r="F57" s="60"/>
      <c r="G57" s="63">
        <f>IF(E57=0,39.12*2,IF(E57=1,39.12,IF(E57=2,39.12/2,IF(E57=3,39.12/4,39.12/8))))</f>
        <v>39.119999999999997</v>
      </c>
      <c r="H57" s="22">
        <f t="shared" si="3"/>
        <v>0</v>
      </c>
    </row>
    <row r="58" spans="1:10" ht="11.25" customHeight="1">
      <c r="A58" s="50">
        <f t="shared" si="1"/>
        <v>41</v>
      </c>
      <c r="B58" s="14" t="s">
        <v>116</v>
      </c>
      <c r="C58" s="10" t="s">
        <v>111</v>
      </c>
      <c r="D58" s="7" t="s">
        <v>16</v>
      </c>
      <c r="E58" s="56"/>
      <c r="F58" s="60"/>
      <c r="G58" s="63">
        <f>38.66+58.67</f>
        <v>97.33</v>
      </c>
      <c r="H58" s="22">
        <f>F58*G58</f>
        <v>0</v>
      </c>
    </row>
    <row r="59" spans="1:10" ht="11.25" customHeight="1">
      <c r="A59" s="79">
        <f>A58+1</f>
        <v>42</v>
      </c>
      <c r="B59" s="71"/>
      <c r="C59" s="72"/>
      <c r="D59" s="73"/>
      <c r="E59" s="74"/>
      <c r="F59" s="75"/>
      <c r="G59" s="76" t="s">
        <v>24</v>
      </c>
      <c r="H59" s="31">
        <f>SUM(H10:H58)</f>
        <v>55090</v>
      </c>
    </row>
    <row r="60" spans="1:10" ht="11.25" customHeight="1">
      <c r="A60" s="79">
        <f>A59+1</f>
        <v>43</v>
      </c>
      <c r="B60" s="71"/>
      <c r="C60" s="77"/>
      <c r="D60" s="28"/>
      <c r="E60" s="74"/>
      <c r="F60" s="75"/>
      <c r="G60" s="78" t="s">
        <v>25</v>
      </c>
      <c r="H60" s="36">
        <f>H12+H13+H15+H16+H17+H19+H21+H24+H26+H28+H31+H32+H34+H35+H36+H37+H39+H40+H41+H42+H43+H44+H45+H47+H48+H49</f>
        <v>32840</v>
      </c>
    </row>
    <row r="61" spans="1:10" ht="11.25" customHeight="1">
      <c r="A61" s="79">
        <f>A60+1</f>
        <v>44</v>
      </c>
      <c r="B61" s="71"/>
      <c r="C61" s="77"/>
      <c r="D61" s="73"/>
      <c r="E61" s="74"/>
      <c r="F61" s="75"/>
      <c r="G61" s="78" t="s">
        <v>20</v>
      </c>
      <c r="H61" s="32">
        <f>H10+H20+H22+H25+H27+H29+H53+H51+H54+H55+H56+H57+H58</f>
        <v>22250</v>
      </c>
      <c r="J61" s="135"/>
    </row>
    <row r="62" spans="1:10">
      <c r="A62" s="79">
        <f>A61+1</f>
        <v>45</v>
      </c>
      <c r="B62" s="27" t="s">
        <v>57</v>
      </c>
      <c r="C62" s="17" t="s">
        <v>58</v>
      </c>
      <c r="D62" s="17"/>
      <c r="E62" s="18" t="s">
        <v>40</v>
      </c>
      <c r="F62" s="64">
        <v>0.85</v>
      </c>
      <c r="G62" s="21"/>
      <c r="H62" s="80">
        <f>H60*F62</f>
        <v>27914</v>
      </c>
    </row>
    <row r="63" spans="1:10" ht="11.25" customHeight="1">
      <c r="A63" s="79"/>
      <c r="B63" s="81"/>
      <c r="C63" s="16" t="s">
        <v>26</v>
      </c>
      <c r="D63" s="82"/>
      <c r="E63" s="81"/>
      <c r="F63" s="83"/>
      <c r="G63" s="84"/>
      <c r="H63" s="82"/>
    </row>
    <row r="64" spans="1:10" ht="11.25" customHeight="1">
      <c r="A64" s="28">
        <f>A62+1</f>
        <v>46</v>
      </c>
      <c r="B64" s="27" t="s">
        <v>70</v>
      </c>
      <c r="C64" s="15" t="s">
        <v>51</v>
      </c>
      <c r="D64" s="28" t="s">
        <v>28</v>
      </c>
      <c r="E64" s="29"/>
      <c r="F64" s="65"/>
      <c r="G64" s="73"/>
      <c r="H64" s="33">
        <f>H62*F64</f>
        <v>0</v>
      </c>
      <c r="I64" s="15"/>
    </row>
    <row r="65" spans="1:9" ht="11.25" customHeight="1">
      <c r="A65" s="79">
        <f t="shared" ref="A65:A86" si="4">A64+1</f>
        <v>47</v>
      </c>
      <c r="B65" s="27" t="s">
        <v>200</v>
      </c>
      <c r="C65" s="86" t="s">
        <v>27</v>
      </c>
      <c r="D65" s="87" t="s">
        <v>28</v>
      </c>
      <c r="F65" s="66">
        <v>0.3</v>
      </c>
      <c r="G65" s="19"/>
      <c r="H65" s="88">
        <f>H62*F65</f>
        <v>8374.1999999999989</v>
      </c>
    </row>
    <row r="66" spans="1:9" ht="12" customHeight="1">
      <c r="A66" s="79">
        <f t="shared" si="4"/>
        <v>48</v>
      </c>
      <c r="B66" s="27" t="s">
        <v>177</v>
      </c>
      <c r="C66" s="37" t="s">
        <v>54</v>
      </c>
      <c r="D66" s="19" t="s">
        <v>28</v>
      </c>
      <c r="E66" s="86"/>
      <c r="F66" s="89">
        <f>INDEX(ОУ!$C$16:$G$23,G67,G66)/100</f>
        <v>8.7499999999999994E-2</v>
      </c>
      <c r="G66" s="90">
        <f>IF((H62+H64+H65)&lt;=75000,1,IF((H62+H64+H65)&lt;=150000,2,IF((H62+H64+H65)&lt;=300000,3,IF((H62+H64+H65)&lt;=750000,4,5))))</f>
        <v>1</v>
      </c>
      <c r="H66" s="33">
        <f>(H62+H64+H65)*F66</f>
        <v>3175.2174999999997</v>
      </c>
    </row>
    <row r="67" spans="1:9">
      <c r="A67" s="79">
        <f t="shared" si="4"/>
        <v>49</v>
      </c>
      <c r="B67" s="19"/>
      <c r="C67" s="18" t="s">
        <v>182</v>
      </c>
      <c r="D67" s="19" t="s">
        <v>53</v>
      </c>
      <c r="F67" s="67">
        <v>5</v>
      </c>
      <c r="G67" s="19">
        <f>IF(F67&lt;=5,1,IF(F67&lt;=10,2,IF(F67&lt;=15,3,IF(F67&lt;=20,4,IF(F67&lt;=30,5,IF(F67&lt;=40,6,IF(F67&lt;=50,7,8)))))))</f>
        <v>1</v>
      </c>
      <c r="H67" s="34"/>
    </row>
    <row r="68" spans="1:9" ht="11.25" customHeight="1">
      <c r="A68" s="79">
        <f t="shared" si="4"/>
        <v>50</v>
      </c>
      <c r="B68" s="27" t="s">
        <v>179</v>
      </c>
      <c r="C68" s="130" t="s">
        <v>174</v>
      </c>
      <c r="D68" s="87" t="s">
        <v>175</v>
      </c>
      <c r="F68" s="131">
        <f>(H61+H62+H64+H65+H66)/50000</f>
        <v>1.23426835</v>
      </c>
      <c r="G68" s="19"/>
      <c r="H68" s="88"/>
    </row>
    <row r="69" spans="1:9" ht="12" customHeight="1">
      <c r="A69" s="79">
        <f t="shared" si="4"/>
        <v>51</v>
      </c>
      <c r="B69" s="27" t="s">
        <v>178</v>
      </c>
      <c r="C69" s="37" t="s">
        <v>176</v>
      </c>
      <c r="D69" s="19" t="s">
        <v>28</v>
      </c>
      <c r="E69" s="86"/>
      <c r="F69" s="89">
        <f>IF(F70&gt;25,INDEX(ОУ!C29:H34,G70,G69)/100,0)</f>
        <v>0</v>
      </c>
      <c r="G69" s="90">
        <f>IF(F68&lt;1,1,IF(F68&lt;3,2,IF(F68&lt;6,3,IF(F68&lt;9,4,IF(F68&lt;12,5,6)))))</f>
        <v>2</v>
      </c>
      <c r="H69" s="33">
        <f>(H62+H64+H65)*F69</f>
        <v>0</v>
      </c>
    </row>
    <row r="70" spans="1:9">
      <c r="A70" s="79">
        <f t="shared" si="4"/>
        <v>52</v>
      </c>
      <c r="B70" s="19"/>
      <c r="C70" s="18" t="s">
        <v>183</v>
      </c>
      <c r="D70" s="19" t="s">
        <v>53</v>
      </c>
      <c r="F70" s="67"/>
      <c r="G70" s="19">
        <f>IF(F70&lt;=25,0,IF(F70&lt;=100,1,IF(F70&lt;=300,2,IF(F70&lt;=500,3,IF(F70&lt;=1000,4,IF(F70&lt;=2000,5,6))))))</f>
        <v>0</v>
      </c>
      <c r="H70" s="34"/>
    </row>
    <row r="71" spans="1:9" ht="12.6" customHeight="1">
      <c r="A71" s="79">
        <f t="shared" si="4"/>
        <v>53</v>
      </c>
      <c r="B71" s="27" t="s">
        <v>56</v>
      </c>
      <c r="C71" s="37" t="s">
        <v>55</v>
      </c>
      <c r="D71" s="91" t="s">
        <v>28</v>
      </c>
      <c r="E71" s="92" t="s">
        <v>40</v>
      </c>
      <c r="F71" s="37">
        <f>IF((H60+H64+H65+H66)&lt;=30000,2.5,IF((H60+H64+H65+H66)&lt;=75000,2,1.5))</f>
        <v>2</v>
      </c>
      <c r="G71" s="85">
        <v>0.06</v>
      </c>
      <c r="H71" s="33">
        <f>(H62+H65+H67)*G71</f>
        <v>2177.2919999999999</v>
      </c>
    </row>
    <row r="72" spans="1:9" ht="11.25" customHeight="1">
      <c r="A72" s="79">
        <f t="shared" si="4"/>
        <v>54</v>
      </c>
      <c r="B72" s="27" t="s">
        <v>49</v>
      </c>
      <c r="C72" s="15" t="s">
        <v>180</v>
      </c>
      <c r="D72" s="28" t="s">
        <v>15</v>
      </c>
      <c r="E72" s="29" t="s">
        <v>40</v>
      </c>
      <c r="F72" s="68">
        <v>1</v>
      </c>
      <c r="G72" s="73"/>
      <c r="H72" s="43">
        <f>IF(H59&lt;100000,H59*0.043,IF(H59&lt;=250000,10000+(H59-100000)*0.03,IF(H59&lt;=500000,17500+(H59-250000)*0.025,IF(H59&lt;=1000000,26250+(H59-500000)*0.02,38750+(H59-1000000)*0.015))))*F72</f>
        <v>2368.87</v>
      </c>
      <c r="I72" s="15"/>
    </row>
    <row r="73" spans="1:9" ht="11.25" customHeight="1">
      <c r="A73" s="79">
        <f t="shared" si="4"/>
        <v>55</v>
      </c>
      <c r="B73" s="27" t="s">
        <v>49</v>
      </c>
      <c r="C73" s="15" t="s">
        <v>50</v>
      </c>
      <c r="D73" s="28" t="s">
        <v>15</v>
      </c>
      <c r="E73" s="29" t="s">
        <v>40</v>
      </c>
      <c r="F73" s="68">
        <v>1</v>
      </c>
      <c r="G73" s="73"/>
      <c r="H73" s="43">
        <f>IF(H59&lt;100000,H59*0.1,IF(H59&lt;=250000,10000+(H59-100000)*0.05,IF(H59&lt;=500000,17500+(H59-250000)*0.035,IF(H59&lt;=1000000,26250+(H59-500000)*0.025,38750+(H59-1000000)*0.02))))*F73</f>
        <v>5509</v>
      </c>
      <c r="I73" s="15"/>
    </row>
    <row r="74" spans="1:9" ht="11.25" customHeight="1">
      <c r="A74" s="79">
        <f t="shared" si="4"/>
        <v>56</v>
      </c>
      <c r="B74" s="27" t="s">
        <v>213</v>
      </c>
      <c r="C74" s="15" t="s">
        <v>214</v>
      </c>
      <c r="D74" s="28"/>
      <c r="E74" s="29" t="s">
        <v>40</v>
      </c>
      <c r="F74" s="68">
        <v>0.2</v>
      </c>
      <c r="G74" s="73"/>
      <c r="H74" s="33">
        <f>(H61+H73)*F74</f>
        <v>5551.8</v>
      </c>
      <c r="I74" s="15"/>
    </row>
    <row r="75" spans="1:9" ht="11.25" customHeight="1">
      <c r="A75" s="79">
        <f t="shared" si="4"/>
        <v>57</v>
      </c>
      <c r="B75" s="27" t="s">
        <v>61</v>
      </c>
      <c r="C75" s="15" t="s">
        <v>62</v>
      </c>
      <c r="D75" s="28"/>
      <c r="E75" s="29" t="s">
        <v>40</v>
      </c>
      <c r="F75" s="68"/>
      <c r="G75" s="73"/>
      <c r="H75" s="33">
        <f>(H56+H57+H58)*F75</f>
        <v>0</v>
      </c>
      <c r="I75" s="15"/>
    </row>
    <row r="76" spans="1:9" ht="12" customHeight="1">
      <c r="A76" s="79">
        <f t="shared" si="4"/>
        <v>58</v>
      </c>
      <c r="B76" s="27" t="s">
        <v>59</v>
      </c>
      <c r="C76" s="37" t="s">
        <v>60</v>
      </c>
      <c r="D76" s="86"/>
      <c r="E76" s="92" t="s">
        <v>40</v>
      </c>
      <c r="F76" s="35">
        <v>0.1</v>
      </c>
      <c r="G76" s="93"/>
      <c r="H76" s="33">
        <f>(H61+H73+H72+H75+H74)*F76</f>
        <v>3567.9670000000001</v>
      </c>
    </row>
    <row r="77" spans="1:9" ht="12" customHeight="1">
      <c r="A77" s="79">
        <f t="shared" si="4"/>
        <v>59</v>
      </c>
      <c r="B77" s="27" t="s">
        <v>63</v>
      </c>
      <c r="C77" s="37" t="s">
        <v>64</v>
      </c>
      <c r="D77" s="86"/>
      <c r="E77" s="92"/>
      <c r="F77" s="65">
        <v>0.1</v>
      </c>
      <c r="G77" s="93"/>
      <c r="H77" s="33">
        <f>(SUM(H62:H76)+H61)*F77</f>
        <v>8088.8346500000007</v>
      </c>
    </row>
    <row r="78" spans="1:9" ht="11.25" customHeight="1">
      <c r="A78" s="79">
        <f t="shared" si="4"/>
        <v>60</v>
      </c>
      <c r="B78" s="27" t="s">
        <v>201</v>
      </c>
      <c r="C78" s="86" t="s">
        <v>52</v>
      </c>
      <c r="D78" s="87" t="s">
        <v>28</v>
      </c>
      <c r="E78" s="86"/>
      <c r="F78" s="66">
        <v>0.08</v>
      </c>
      <c r="G78" s="19"/>
      <c r="H78" s="88">
        <f>(SUM(H62:H77)+H61-H56-H57-H58)*F78</f>
        <v>7118.1744920000001</v>
      </c>
    </row>
    <row r="79" spans="1:9">
      <c r="A79" s="79">
        <f t="shared" si="4"/>
        <v>61</v>
      </c>
      <c r="B79" s="94"/>
      <c r="C79" s="95" t="s">
        <v>86</v>
      </c>
      <c r="D79" s="96"/>
      <c r="E79" s="94"/>
      <c r="F79" s="97"/>
      <c r="G79" s="98"/>
      <c r="H79" s="80">
        <f>SUM(H64:H78)</f>
        <v>45931.355642000002</v>
      </c>
    </row>
    <row r="80" spans="1:9">
      <c r="A80" s="79">
        <f t="shared" si="4"/>
        <v>62</v>
      </c>
      <c r="B80" s="94"/>
      <c r="C80" s="129" t="s">
        <v>198</v>
      </c>
      <c r="D80" s="96"/>
      <c r="E80" s="94"/>
      <c r="F80" s="97"/>
      <c r="G80" s="98"/>
      <c r="H80" s="80">
        <f>H61+H62+H79</f>
        <v>96095.35564200001</v>
      </c>
    </row>
    <row r="81" spans="1:10" ht="12" customHeight="1">
      <c r="A81" s="79">
        <f t="shared" si="4"/>
        <v>63</v>
      </c>
      <c r="B81" s="27" t="s">
        <v>66</v>
      </c>
      <c r="C81" s="37" t="s">
        <v>65</v>
      </c>
      <c r="D81" s="86"/>
      <c r="E81" s="92" t="s">
        <v>40</v>
      </c>
      <c r="F81" s="111">
        <v>1</v>
      </c>
      <c r="G81" s="93"/>
      <c r="H81" s="33">
        <f>H80*(F81-1)</f>
        <v>0</v>
      </c>
    </row>
    <row r="82" spans="1:10" ht="12" customHeight="1">
      <c r="A82" s="79">
        <f t="shared" si="4"/>
        <v>64</v>
      </c>
      <c r="B82" s="27" t="s">
        <v>67</v>
      </c>
      <c r="C82" s="37" t="s">
        <v>199</v>
      </c>
      <c r="D82" s="86"/>
      <c r="E82" s="92" t="s">
        <v>40</v>
      </c>
      <c r="F82" s="38">
        <f>A8</f>
        <v>6.26</v>
      </c>
      <c r="G82" s="93"/>
      <c r="H82" s="33">
        <f>(H80+H81)*(F82-1)</f>
        <v>505461.57067692</v>
      </c>
    </row>
    <row r="83" spans="1:10">
      <c r="A83" s="79">
        <f t="shared" si="4"/>
        <v>65</v>
      </c>
      <c r="B83" s="94"/>
      <c r="C83" s="99" t="s">
        <v>29</v>
      </c>
      <c r="D83" s="96"/>
      <c r="E83" s="94"/>
      <c r="F83" s="97"/>
      <c r="G83" s="98"/>
      <c r="H83" s="80">
        <f>INT(SUM(H80:H82))</f>
        <v>601556</v>
      </c>
      <c r="J83" s="120"/>
    </row>
    <row r="84" spans="1:10" ht="12.75" customHeight="1">
      <c r="A84" s="79">
        <f t="shared" si="4"/>
        <v>66</v>
      </c>
      <c r="B84" s="144" t="s">
        <v>215</v>
      </c>
      <c r="C84" s="144"/>
      <c r="D84" s="129"/>
      <c r="E84" s="129"/>
      <c r="F84" s="66">
        <v>0.1</v>
      </c>
      <c r="G84" s="129"/>
      <c r="H84" s="80">
        <f>INT(H83-H83*F84)</f>
        <v>541400</v>
      </c>
    </row>
    <row r="85" spans="1:10" ht="12.75" customHeight="1">
      <c r="A85" s="79">
        <f t="shared" si="4"/>
        <v>67</v>
      </c>
      <c r="B85" s="94"/>
      <c r="C85" s="129" t="s">
        <v>216</v>
      </c>
      <c r="D85" s="145" t="s">
        <v>217</v>
      </c>
      <c r="E85" s="145"/>
      <c r="F85" s="133">
        <v>0.05</v>
      </c>
      <c r="G85" s="132"/>
      <c r="H85" s="80">
        <f>H84*F85</f>
        <v>27070</v>
      </c>
      <c r="J85" s="120"/>
    </row>
    <row r="86" spans="1:10">
      <c r="A86" s="79">
        <f t="shared" si="4"/>
        <v>68</v>
      </c>
      <c r="B86" s="94"/>
      <c r="C86" s="99" t="s">
        <v>30</v>
      </c>
      <c r="D86" s="96"/>
      <c r="E86" s="94"/>
      <c r="F86" s="97"/>
      <c r="G86" s="98"/>
      <c r="H86" s="80">
        <f>H84+H85</f>
        <v>568470</v>
      </c>
    </row>
    <row r="87" spans="1:10" s="15" customFormat="1">
      <c r="B87" s="44"/>
      <c r="D87" s="20"/>
      <c r="E87" s="44"/>
      <c r="F87" s="28"/>
      <c r="I87" s="20"/>
    </row>
    <row r="88" spans="1:10">
      <c r="C88" s="19" t="s">
        <v>87</v>
      </c>
      <c r="G88" s="20" t="s">
        <v>88</v>
      </c>
    </row>
  </sheetData>
  <mergeCells count="4">
    <mergeCell ref="D55:G55"/>
    <mergeCell ref="F6:H7"/>
    <mergeCell ref="B84:C84"/>
    <mergeCell ref="D85:E85"/>
  </mergeCells>
  <printOptions horizontalCentered="1"/>
  <pageMargins left="0.6692913385826772" right="0.19685039370078741" top="0.19685039370078741" bottom="0.39370078740157483" header="0.19685039370078741" footer="0.19685039370078741"/>
  <pageSetup paperSize="9" scale="78" orientation="portrait" r:id="rId1"/>
  <headerFooter alignWithMargins="0">
    <oddFooter>&amp;L&amp;8ИП Воробьев С.В., &amp;F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2"/>
  <sheetViews>
    <sheetView workbookViewId="0">
      <selection activeCell="B9" sqref="B9"/>
    </sheetView>
  </sheetViews>
  <sheetFormatPr defaultRowHeight="12.75"/>
  <cols>
    <col min="1" max="1" width="9.28515625" bestFit="1" customWidth="1"/>
    <col min="2" max="2" width="19" customWidth="1"/>
    <col min="3" max="8" width="12.7109375" customWidth="1"/>
  </cols>
  <sheetData>
    <row r="1" spans="1:7">
      <c r="A1" s="45" t="s">
        <v>117</v>
      </c>
    </row>
    <row r="3" spans="1:7">
      <c r="A3" s="45" t="s">
        <v>118</v>
      </c>
    </row>
    <row r="4" spans="1:7">
      <c r="A4" t="s">
        <v>119</v>
      </c>
    </row>
    <row r="5" spans="1:7">
      <c r="A5" s="40">
        <v>1.25</v>
      </c>
      <c r="B5" t="s">
        <v>120</v>
      </c>
    </row>
    <row r="6" spans="1:7">
      <c r="A6" t="s">
        <v>121</v>
      </c>
    </row>
    <row r="7" spans="1:7">
      <c r="A7" s="40">
        <v>1.3</v>
      </c>
      <c r="B7" t="s">
        <v>122</v>
      </c>
    </row>
    <row r="8" spans="1:7">
      <c r="A8" t="s">
        <v>123</v>
      </c>
    </row>
    <row r="9" spans="1:7">
      <c r="A9" s="40">
        <v>1.08</v>
      </c>
      <c r="B9" t="s">
        <v>124</v>
      </c>
    </row>
    <row r="11" spans="1:7">
      <c r="A11" s="45" t="s">
        <v>125</v>
      </c>
    </row>
    <row r="12" spans="1:7">
      <c r="A12" t="s">
        <v>126</v>
      </c>
    </row>
    <row r="13" spans="1:7" ht="39.6" customHeight="1">
      <c r="A13" s="140" t="s">
        <v>85</v>
      </c>
      <c r="B13" s="140" t="s">
        <v>127</v>
      </c>
      <c r="C13" s="140" t="s">
        <v>128</v>
      </c>
      <c r="D13" s="140"/>
      <c r="E13" s="140"/>
      <c r="F13" s="140"/>
      <c r="G13" s="140"/>
    </row>
    <row r="14" spans="1:7">
      <c r="A14" s="140"/>
      <c r="B14" s="140"/>
      <c r="C14" s="103" t="s">
        <v>129</v>
      </c>
      <c r="D14" s="103" t="s">
        <v>130</v>
      </c>
      <c r="E14" s="103" t="s">
        <v>131</v>
      </c>
      <c r="F14" s="103" t="s">
        <v>132</v>
      </c>
      <c r="G14" s="103" t="s">
        <v>133</v>
      </c>
    </row>
    <row r="15" spans="1:7">
      <c r="A15" s="102"/>
      <c r="B15" s="102"/>
      <c r="C15" s="103">
        <v>1</v>
      </c>
      <c r="D15" s="103">
        <v>2</v>
      </c>
      <c r="E15" s="103">
        <v>3</v>
      </c>
      <c r="F15" s="103">
        <v>4</v>
      </c>
      <c r="G15" s="103">
        <v>5</v>
      </c>
    </row>
    <row r="16" spans="1:7">
      <c r="A16" s="103">
        <v>1</v>
      </c>
      <c r="B16" s="103" t="s">
        <v>134</v>
      </c>
      <c r="C16" s="104">
        <v>8.75</v>
      </c>
      <c r="D16" s="104">
        <v>7.5</v>
      </c>
      <c r="E16" s="104">
        <v>6.25</v>
      </c>
      <c r="F16" s="104">
        <v>5</v>
      </c>
      <c r="G16" s="104">
        <v>3.75</v>
      </c>
    </row>
    <row r="17" spans="1:8">
      <c r="A17" s="103">
        <v>2</v>
      </c>
      <c r="B17" s="103" t="s">
        <v>135</v>
      </c>
      <c r="C17" s="104">
        <v>11.25</v>
      </c>
      <c r="D17" s="104">
        <v>10</v>
      </c>
      <c r="E17" s="104">
        <v>8.75</v>
      </c>
      <c r="F17" s="104">
        <v>7.5</v>
      </c>
      <c r="G17" s="104">
        <v>6.25</v>
      </c>
    </row>
    <row r="18" spans="1:8">
      <c r="A18" s="103">
        <v>3</v>
      </c>
      <c r="B18" s="103" t="s">
        <v>136</v>
      </c>
      <c r="C18" s="104">
        <v>13.75</v>
      </c>
      <c r="D18" s="104">
        <v>12.5</v>
      </c>
      <c r="E18" s="104">
        <v>11.25</v>
      </c>
      <c r="F18" s="104">
        <v>10</v>
      </c>
      <c r="G18" s="104">
        <v>8.75</v>
      </c>
    </row>
    <row r="19" spans="1:8">
      <c r="A19" s="103">
        <v>4</v>
      </c>
      <c r="B19" s="103" t="s">
        <v>137</v>
      </c>
      <c r="C19" s="104">
        <v>16.25</v>
      </c>
      <c r="D19" s="104">
        <v>15</v>
      </c>
      <c r="E19" s="104">
        <v>13.75</v>
      </c>
      <c r="F19" s="104">
        <v>12.5</v>
      </c>
      <c r="G19" s="104">
        <v>11.25</v>
      </c>
    </row>
    <row r="20" spans="1:8">
      <c r="A20" s="103">
        <v>5</v>
      </c>
      <c r="B20" s="103" t="s">
        <v>138</v>
      </c>
      <c r="C20" s="104">
        <v>18.75</v>
      </c>
      <c r="D20" s="104">
        <v>17.5</v>
      </c>
      <c r="E20" s="104">
        <v>16.25</v>
      </c>
      <c r="F20" s="104">
        <v>15</v>
      </c>
      <c r="G20" s="104">
        <v>13.75</v>
      </c>
    </row>
    <row r="21" spans="1:8">
      <c r="A21" s="103">
        <v>6</v>
      </c>
      <c r="B21" s="103" t="s">
        <v>139</v>
      </c>
      <c r="C21" s="104">
        <v>21.25</v>
      </c>
      <c r="D21" s="104">
        <v>20</v>
      </c>
      <c r="E21" s="104">
        <v>18.75</v>
      </c>
      <c r="F21" s="104">
        <v>17.5</v>
      </c>
      <c r="G21" s="104">
        <v>16.25</v>
      </c>
    </row>
    <row r="22" spans="1:8">
      <c r="A22" s="103">
        <v>7</v>
      </c>
      <c r="B22" s="103" t="s">
        <v>140</v>
      </c>
      <c r="C22" s="104">
        <v>23.75</v>
      </c>
      <c r="D22" s="104">
        <v>22.5</v>
      </c>
      <c r="E22" s="104">
        <v>21.25</v>
      </c>
      <c r="F22" s="104">
        <v>20</v>
      </c>
      <c r="G22" s="104">
        <v>18.75</v>
      </c>
    </row>
    <row r="23" spans="1:8">
      <c r="A23" s="103">
        <v>8</v>
      </c>
      <c r="B23" s="103" t="s">
        <v>141</v>
      </c>
      <c r="C23" s="104">
        <v>26.25</v>
      </c>
      <c r="D23" s="104">
        <v>25</v>
      </c>
      <c r="E23" s="104">
        <v>23.75</v>
      </c>
      <c r="F23" s="104">
        <v>22.5</v>
      </c>
      <c r="G23" s="104">
        <v>21.25</v>
      </c>
    </row>
    <row r="25" spans="1:8">
      <c r="A25" s="45" t="s">
        <v>142</v>
      </c>
    </row>
    <row r="26" spans="1:8">
      <c r="A26" t="s">
        <v>143</v>
      </c>
    </row>
    <row r="27" spans="1:8" ht="39.6" customHeight="1">
      <c r="A27" s="140" t="s">
        <v>85</v>
      </c>
      <c r="B27" s="140" t="s">
        <v>144</v>
      </c>
      <c r="C27" s="141" t="s">
        <v>145</v>
      </c>
      <c r="D27" s="142"/>
      <c r="E27" s="142"/>
      <c r="F27" s="142"/>
      <c r="G27" s="142"/>
      <c r="H27" s="143"/>
    </row>
    <row r="28" spans="1:8">
      <c r="A28" s="140"/>
      <c r="B28" s="140"/>
      <c r="C28" s="103" t="s">
        <v>146</v>
      </c>
      <c r="D28" s="103">
        <v>2</v>
      </c>
      <c r="E28" s="103">
        <v>3</v>
      </c>
      <c r="F28" s="103">
        <v>6</v>
      </c>
      <c r="G28" s="103">
        <v>9</v>
      </c>
      <c r="H28" s="103" t="s">
        <v>147</v>
      </c>
    </row>
    <row r="29" spans="1:8">
      <c r="A29" s="103">
        <v>1</v>
      </c>
      <c r="B29" s="103" t="s">
        <v>148</v>
      </c>
      <c r="C29" s="104">
        <v>14</v>
      </c>
      <c r="D29" s="104">
        <v>11.5</v>
      </c>
      <c r="E29" s="104">
        <v>9.1</v>
      </c>
      <c r="F29" s="104">
        <v>4.5</v>
      </c>
      <c r="G29" s="104">
        <v>3.5</v>
      </c>
      <c r="H29" s="104">
        <v>2.8</v>
      </c>
    </row>
    <row r="30" spans="1:8">
      <c r="A30" s="103">
        <v>2</v>
      </c>
      <c r="B30" s="103" t="s">
        <v>149</v>
      </c>
      <c r="C30" s="104">
        <v>19.600000000000001</v>
      </c>
      <c r="D30" s="104">
        <v>15.4</v>
      </c>
      <c r="E30" s="104">
        <v>12.7</v>
      </c>
      <c r="F30" s="104">
        <v>6.2</v>
      </c>
      <c r="G30" s="104">
        <v>4.8</v>
      </c>
      <c r="H30" s="104">
        <v>3.6</v>
      </c>
    </row>
    <row r="31" spans="1:8">
      <c r="A31" s="103">
        <v>3</v>
      </c>
      <c r="B31" s="103" t="s">
        <v>150</v>
      </c>
      <c r="C31" s="104">
        <v>25.2</v>
      </c>
      <c r="D31" s="104">
        <v>21</v>
      </c>
      <c r="E31" s="104">
        <v>16.8</v>
      </c>
      <c r="F31" s="104">
        <v>8.1</v>
      </c>
      <c r="G31" s="104">
        <v>6.3</v>
      </c>
      <c r="H31" s="104">
        <v>4.8</v>
      </c>
    </row>
    <row r="32" spans="1:8">
      <c r="A32" s="103">
        <v>4</v>
      </c>
      <c r="B32" s="103" t="s">
        <v>151</v>
      </c>
      <c r="C32" s="104">
        <v>30.8</v>
      </c>
      <c r="D32" s="104">
        <v>25.2</v>
      </c>
      <c r="E32" s="104">
        <v>19.600000000000001</v>
      </c>
      <c r="F32" s="104">
        <v>9.6999999999999993</v>
      </c>
      <c r="G32" s="104">
        <v>7.3</v>
      </c>
      <c r="H32" s="104">
        <v>5.5</v>
      </c>
    </row>
    <row r="33" spans="1:8">
      <c r="A33" s="103">
        <v>5</v>
      </c>
      <c r="B33" s="103" t="s">
        <v>152</v>
      </c>
      <c r="C33" s="104">
        <v>36.4</v>
      </c>
      <c r="D33" s="104">
        <v>32.200000000000003</v>
      </c>
      <c r="E33" s="104">
        <v>28</v>
      </c>
      <c r="F33" s="104">
        <v>13.2</v>
      </c>
      <c r="G33" s="104">
        <v>9.8000000000000007</v>
      </c>
      <c r="H33" s="104">
        <v>7.3</v>
      </c>
    </row>
    <row r="34" spans="1:8">
      <c r="A34" s="103">
        <v>6</v>
      </c>
      <c r="B34" s="103" t="s">
        <v>153</v>
      </c>
      <c r="C34" s="104"/>
      <c r="D34" s="104">
        <v>39.200000000000003</v>
      </c>
      <c r="E34" s="104">
        <v>36.4</v>
      </c>
      <c r="F34" s="104">
        <v>20</v>
      </c>
      <c r="G34" s="104">
        <v>16</v>
      </c>
      <c r="H34" s="104">
        <v>12</v>
      </c>
    </row>
    <row r="36" spans="1:8">
      <c r="A36" s="45" t="s">
        <v>154</v>
      </c>
    </row>
    <row r="37" spans="1:8">
      <c r="A37" t="s">
        <v>155</v>
      </c>
    </row>
    <row r="38" spans="1:8">
      <c r="A38" s="105">
        <v>0.06</v>
      </c>
      <c r="B38" t="s">
        <v>156</v>
      </c>
    </row>
    <row r="40" spans="1:8">
      <c r="A40" s="45" t="s">
        <v>157</v>
      </c>
    </row>
    <row r="41" spans="1:8">
      <c r="A41" t="s">
        <v>158</v>
      </c>
    </row>
    <row r="42" spans="1:8">
      <c r="A42" s="106">
        <v>0.85</v>
      </c>
      <c r="B42" t="s">
        <v>159</v>
      </c>
    </row>
    <row r="44" spans="1:8">
      <c r="A44" s="45" t="s">
        <v>160</v>
      </c>
    </row>
    <row r="45" spans="1:8">
      <c r="A45" t="s">
        <v>161</v>
      </c>
    </row>
    <row r="46" spans="1:8">
      <c r="A46" s="106">
        <v>1.1000000000000001</v>
      </c>
      <c r="B46" t="s">
        <v>162</v>
      </c>
    </row>
    <row r="48" spans="1:8">
      <c r="A48" s="45" t="s">
        <v>163</v>
      </c>
    </row>
    <row r="49" spans="1:2">
      <c r="A49" t="s">
        <v>164</v>
      </c>
    </row>
    <row r="50" spans="1:2">
      <c r="A50" s="106">
        <v>1.2</v>
      </c>
      <c r="B50" t="s">
        <v>162</v>
      </c>
    </row>
    <row r="52" spans="1:2">
      <c r="A52" s="45" t="s">
        <v>165</v>
      </c>
    </row>
    <row r="53" spans="1:2">
      <c r="A53" t="s">
        <v>166</v>
      </c>
    </row>
    <row r="54" spans="1:2">
      <c r="A54" s="106">
        <v>1.75</v>
      </c>
      <c r="B54" t="s">
        <v>167</v>
      </c>
    </row>
    <row r="56" spans="1:2">
      <c r="A56" s="45" t="s">
        <v>168</v>
      </c>
    </row>
    <row r="57" spans="1:2">
      <c r="A57" t="s">
        <v>169</v>
      </c>
    </row>
    <row r="58" spans="1:2">
      <c r="A58" s="105">
        <v>0.1</v>
      </c>
      <c r="B58" t="s">
        <v>170</v>
      </c>
    </row>
    <row r="60" spans="1:2">
      <c r="A60" s="45" t="s">
        <v>68</v>
      </c>
    </row>
    <row r="61" spans="1:2">
      <c r="A61" t="s">
        <v>172</v>
      </c>
    </row>
    <row r="62" spans="1:2">
      <c r="A62" s="110">
        <v>6.26</v>
      </c>
      <c r="B62" t="s">
        <v>171</v>
      </c>
    </row>
  </sheetData>
  <mergeCells count="6">
    <mergeCell ref="C13:G13"/>
    <mergeCell ref="B13:B14"/>
    <mergeCell ref="A13:A14"/>
    <mergeCell ref="A27:A28"/>
    <mergeCell ref="B27:B28"/>
    <mergeCell ref="C27:H27"/>
  </mergeCells>
  <phoneticPr fontId="0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Смета</vt:lpstr>
      <vt:lpstr>ОУ</vt:lpstr>
      <vt:lpstr>Смета!Область_печати</vt:lpstr>
    </vt:vector>
  </TitlesOfParts>
  <Company>ARCH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Vorobyev</dc:creator>
  <cp:lastModifiedBy>vsv</cp:lastModifiedBy>
  <cp:lastPrinted>2025-06-04T07:06:44Z</cp:lastPrinted>
  <dcterms:created xsi:type="dcterms:W3CDTF">2002-07-28T08:19:52Z</dcterms:created>
  <dcterms:modified xsi:type="dcterms:W3CDTF">2025-06-04T18:15:47Z</dcterms:modified>
</cp:coreProperties>
</file>